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T:\Svinefaglige projekter\1422-Pork 2.0\Mini-PORK\"/>
    </mc:Choice>
  </mc:AlternateContent>
  <xr:revisionPtr revIDLastSave="0" documentId="13_ncr:1_{D922D51C-7207-4AC2-876B-74AF63EDA5E1}" xr6:coauthVersionLast="46" xr6:coauthVersionMax="47" xr10:uidLastSave="{00000000-0000-0000-0000-000000000000}"/>
  <bookViews>
    <workbookView xWindow="28680" yWindow="-120" windowWidth="29040" windowHeight="15840" activeTab="1" xr2:uid="{37AB47DD-B171-EE4C-8793-E1FA874766E8}"/>
  </bookViews>
  <sheets>
    <sheet name="Intro" sheetId="12" r:id="rId1"/>
    <sheet name="Produktionsdata input" sheetId="6" r:id="rId2"/>
    <sheet name="Klima på slagtegrisen" sheetId="1" r:id="rId3"/>
    <sheet name="Klima på smågrisen" sheetId="11" r:id="rId4"/>
    <sheet name="Beregningmotor" sheetId="5" r:id="rId5"/>
    <sheet name="Foder-database" sheetId="8" r:id="rId6"/>
    <sheet name="Værktøjskassen" sheetId="3" r:id="rId7"/>
    <sheet name="Rulle lister" sheetId="9" r:id="rId8"/>
  </sheets>
  <definedNames>
    <definedName name="_xlnm.Print_Area" localSheetId="2">'Klima på slagtegrisen'!$B$1:$I$50</definedName>
    <definedName name="_xlnm.Print_Area" localSheetId="3">'Klima på smågrisen'!$B$1:$H$56</definedName>
    <definedName name="_xlnm.Print_Area" localSheetId="1">'Produktionsdata input'!$B$1:$H$67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 i="1" l="1"/>
  <c r="C19" i="1"/>
  <c r="B8" i="1"/>
  <c r="B22" i="1" s="1"/>
  <c r="B7" i="1" l="1"/>
  <c r="D16" i="6"/>
  <c r="E16" i="6"/>
  <c r="F16" i="6"/>
  <c r="C16" i="6"/>
  <c r="H16" i="6"/>
  <c r="A2" i="9"/>
  <c r="C67" i="6"/>
  <c r="E47" i="6"/>
  <c r="C10" i="11"/>
  <c r="B9" i="11"/>
  <c r="B10" i="11"/>
  <c r="B11" i="11"/>
  <c r="B12" i="11"/>
  <c r="B13" i="11"/>
  <c r="B14" i="11"/>
  <c r="B8" i="11"/>
  <c r="D22" i="5"/>
  <c r="E22" i="5"/>
  <c r="F22" i="5"/>
  <c r="C22" i="5"/>
  <c r="C79" i="6" l="1"/>
  <c r="B13" i="1" l="1"/>
  <c r="H13" i="1"/>
  <c r="B11" i="5"/>
  <c r="P19" i="5"/>
  <c r="P17" i="5" l="1"/>
  <c r="Q17" i="5"/>
  <c r="P18" i="5"/>
  <c r="Q18" i="5"/>
  <c r="Q19" i="5"/>
  <c r="P20" i="5"/>
  <c r="Q20" i="5"/>
  <c r="P21" i="5"/>
  <c r="Q21" i="5"/>
  <c r="P22" i="5"/>
  <c r="Q22" i="5"/>
  <c r="P23" i="5"/>
  <c r="Q23" i="5"/>
  <c r="Q34" i="5" s="1"/>
  <c r="P24" i="5"/>
  <c r="P35" i="5" s="1"/>
  <c r="Q24" i="5"/>
  <c r="Q35" i="5" s="1"/>
  <c r="P25" i="5"/>
  <c r="P36" i="5" s="1"/>
  <c r="Q25" i="5"/>
  <c r="P12" i="5"/>
  <c r="P33" i="5" s="1"/>
  <c r="C11" i="11" s="1"/>
  <c r="Q12" i="5"/>
  <c r="P13" i="5"/>
  <c r="Q13" i="5"/>
  <c r="P14" i="5"/>
  <c r="Q14" i="5"/>
  <c r="B12" i="5"/>
  <c r="B13" i="5"/>
  <c r="C12" i="5"/>
  <c r="C33" i="5" s="1"/>
  <c r="D12" i="5"/>
  <c r="E12" i="5"/>
  <c r="F12" i="5"/>
  <c r="C13" i="5"/>
  <c r="D13" i="5"/>
  <c r="E13" i="5"/>
  <c r="F13" i="5"/>
  <c r="B25" i="5"/>
  <c r="C25" i="5"/>
  <c r="D25" i="5"/>
  <c r="D36" i="5" s="1"/>
  <c r="E25" i="5"/>
  <c r="E36" i="5" s="1"/>
  <c r="F25" i="5"/>
  <c r="F36" i="5" s="1"/>
  <c r="B24" i="5"/>
  <c r="C24" i="5"/>
  <c r="C35" i="5" s="1"/>
  <c r="D24" i="5"/>
  <c r="D35" i="5" s="1"/>
  <c r="E24" i="5"/>
  <c r="E35" i="5" s="1"/>
  <c r="F24" i="5"/>
  <c r="B23" i="5"/>
  <c r="C23" i="5"/>
  <c r="D23" i="5"/>
  <c r="E23" i="5"/>
  <c r="F23" i="5"/>
  <c r="B20" i="5"/>
  <c r="C20" i="5"/>
  <c r="D20" i="5"/>
  <c r="E20" i="5"/>
  <c r="F20" i="5"/>
  <c r="B21" i="5"/>
  <c r="C21" i="5"/>
  <c r="D21" i="5"/>
  <c r="E21" i="5"/>
  <c r="F21" i="5"/>
  <c r="B22" i="5"/>
  <c r="B14" i="5"/>
  <c r="B15" i="5"/>
  <c r="B16" i="5"/>
  <c r="B17" i="5"/>
  <c r="B18" i="5"/>
  <c r="B19" i="5"/>
  <c r="C16" i="5"/>
  <c r="D16" i="5"/>
  <c r="E16" i="5"/>
  <c r="F16" i="5"/>
  <c r="C14" i="5"/>
  <c r="D14" i="5"/>
  <c r="E14" i="5"/>
  <c r="F14" i="5"/>
  <c r="C67" i="8"/>
  <c r="Q36" i="5" l="1"/>
  <c r="D14" i="11" s="1"/>
  <c r="F35" i="5"/>
  <c r="C36" i="5"/>
  <c r="C13" i="1" s="1"/>
  <c r="D33" i="5"/>
  <c r="C13" i="11"/>
  <c r="F33" i="5"/>
  <c r="E30" i="5"/>
  <c r="E33" i="5"/>
  <c r="E34" i="5"/>
  <c r="D13" i="1"/>
  <c r="D10" i="11"/>
  <c r="Q29" i="5"/>
  <c r="D13" i="11"/>
  <c r="D12" i="11"/>
  <c r="Q33" i="5"/>
  <c r="D11" i="11" s="1"/>
  <c r="C14" i="11"/>
  <c r="P31" i="5"/>
  <c r="P34" i="5"/>
  <c r="C12" i="11" s="1"/>
  <c r="P29" i="5"/>
  <c r="Q30" i="5"/>
  <c r="Q32" i="5"/>
  <c r="D9" i="11" s="1"/>
  <c r="E29" i="5"/>
  <c r="P30" i="5"/>
  <c r="P32" i="5"/>
  <c r="C9" i="11" s="1"/>
  <c r="C30" i="5"/>
  <c r="F30" i="5"/>
  <c r="D29" i="5"/>
  <c r="C34" i="5"/>
  <c r="D30" i="5"/>
  <c r="E13" i="1"/>
  <c r="F34" i="5"/>
  <c r="D34" i="5"/>
  <c r="F13" i="1"/>
  <c r="C29" i="5"/>
  <c r="F29" i="5"/>
  <c r="I31" i="5"/>
  <c r="F54" i="1" l="1"/>
  <c r="G54" i="1"/>
  <c r="H54" i="1"/>
  <c r="F55" i="1"/>
  <c r="G55" i="1"/>
  <c r="H55" i="1"/>
  <c r="F56" i="1"/>
  <c r="G56" i="1"/>
  <c r="H56" i="1"/>
  <c r="F58" i="1"/>
  <c r="G58" i="1"/>
  <c r="H58" i="1"/>
  <c r="F59" i="1"/>
  <c r="G59" i="1"/>
  <c r="H59" i="1"/>
  <c r="F60" i="1"/>
  <c r="G60" i="1"/>
  <c r="H60" i="1"/>
  <c r="F61" i="1"/>
  <c r="G61" i="1"/>
  <c r="H61" i="1"/>
  <c r="F62" i="1"/>
  <c r="G62" i="1"/>
  <c r="H62" i="1"/>
  <c r="F63" i="1"/>
  <c r="G63" i="1"/>
  <c r="H63" i="1"/>
  <c r="F64" i="1"/>
  <c r="G64" i="1"/>
  <c r="H64" i="1"/>
  <c r="E64" i="1"/>
  <c r="E63" i="1"/>
  <c r="E62" i="1"/>
  <c r="E61" i="1"/>
  <c r="E60" i="1"/>
  <c r="E59" i="1"/>
  <c r="E58" i="1"/>
  <c r="E56" i="1"/>
  <c r="E55" i="1"/>
  <c r="E54" i="1"/>
  <c r="F53" i="1"/>
  <c r="G53" i="1"/>
  <c r="H53" i="1"/>
  <c r="E53" i="1"/>
  <c r="B63" i="1"/>
  <c r="B60" i="1"/>
  <c r="B61" i="1"/>
  <c r="B62" i="1"/>
  <c r="B53" i="1"/>
  <c r="D8" i="11"/>
  <c r="F84" i="11"/>
  <c r="F83" i="11"/>
  <c r="F82" i="11"/>
  <c r="F81" i="11"/>
  <c r="F80" i="11"/>
  <c r="F79" i="11"/>
  <c r="F78" i="11"/>
  <c r="F77" i="11"/>
  <c r="E84" i="11"/>
  <c r="E83" i="11"/>
  <c r="E82" i="11"/>
  <c r="E81" i="11"/>
  <c r="E80" i="11"/>
  <c r="E79" i="11"/>
  <c r="E78" i="11"/>
  <c r="E77" i="11"/>
  <c r="E76" i="11"/>
  <c r="B84" i="11"/>
  <c r="B83" i="11"/>
  <c r="B82" i="11"/>
  <c r="B81" i="11"/>
  <c r="B80" i="11"/>
  <c r="B75" i="11"/>
  <c r="B7" i="11"/>
  <c r="B6" i="11"/>
  <c r="B4" i="11"/>
  <c r="B2" i="11"/>
  <c r="AK27" i="8" l="1"/>
  <c r="AK28" i="8"/>
  <c r="AK29" i="8"/>
  <c r="AK30" i="8"/>
  <c r="AK31" i="8"/>
  <c r="AK32" i="8"/>
  <c r="AK33" i="8"/>
  <c r="AK34" i="8"/>
  <c r="AK35" i="8"/>
  <c r="AK36" i="8"/>
  <c r="AK37" i="8"/>
  <c r="AK38" i="8"/>
  <c r="AK39" i="8"/>
  <c r="AK40" i="8"/>
  <c r="AK41" i="8"/>
  <c r="AK26" i="8"/>
  <c r="Q16" i="5"/>
  <c r="P16" i="5"/>
  <c r="E70" i="3"/>
  <c r="E69" i="3"/>
  <c r="E68" i="3"/>
  <c r="F76" i="11"/>
  <c r="P27" i="5" l="1"/>
  <c r="D7" i="11"/>
  <c r="C6" i="11"/>
  <c r="C7" i="11"/>
  <c r="D6" i="11"/>
  <c r="F18" i="6"/>
  <c r="H57" i="1" s="1"/>
  <c r="C4" i="11" l="1"/>
  <c r="AD54" i="8"/>
  <c r="AE54" i="8"/>
  <c r="AG54" i="8"/>
  <c r="AD55" i="8"/>
  <c r="AE55" i="8"/>
  <c r="AG55" i="8"/>
  <c r="AD56" i="8"/>
  <c r="AF56" i="8" s="1"/>
  <c r="AE56" i="8"/>
  <c r="AG56" i="8"/>
  <c r="AD57" i="8"/>
  <c r="AE57" i="8"/>
  <c r="AG57" i="8"/>
  <c r="AD58" i="8"/>
  <c r="AE58" i="8"/>
  <c r="AG58" i="8"/>
  <c r="AD59" i="8"/>
  <c r="AE59" i="8"/>
  <c r="AG59" i="8"/>
  <c r="AD60" i="8"/>
  <c r="AE60" i="8"/>
  <c r="AG60" i="8"/>
  <c r="AH60" i="8" s="1"/>
  <c r="AD61" i="8"/>
  <c r="AH61" i="8" s="1"/>
  <c r="AE61" i="8"/>
  <c r="AG61" i="8"/>
  <c r="AD62" i="8"/>
  <c r="AE62" i="8"/>
  <c r="AG62" i="8"/>
  <c r="AD63" i="8"/>
  <c r="AE63" i="8"/>
  <c r="AG63" i="8"/>
  <c r="AD64" i="8"/>
  <c r="AF64" i="8" s="1"/>
  <c r="AE64" i="8"/>
  <c r="AG64" i="8"/>
  <c r="AD65" i="8"/>
  <c r="AE65" i="8"/>
  <c r="AG65" i="8"/>
  <c r="AD66" i="8"/>
  <c r="AE66" i="8"/>
  <c r="AG66" i="8"/>
  <c r="AD67" i="8"/>
  <c r="AE67" i="8"/>
  <c r="AG67" i="8"/>
  <c r="AE68" i="8"/>
  <c r="AG68" i="8"/>
  <c r="W54" i="8"/>
  <c r="X54" i="8"/>
  <c r="Z54" i="8"/>
  <c r="W55" i="8"/>
  <c r="X55" i="8"/>
  <c r="Z55" i="8"/>
  <c r="W56" i="8"/>
  <c r="X56" i="8"/>
  <c r="Z56" i="8"/>
  <c r="W57" i="8"/>
  <c r="X57" i="8"/>
  <c r="Z57" i="8"/>
  <c r="W58" i="8"/>
  <c r="X58" i="8"/>
  <c r="Z58" i="8"/>
  <c r="W59" i="8"/>
  <c r="X59" i="8"/>
  <c r="Z59" i="8"/>
  <c r="W60" i="8"/>
  <c r="X60" i="8"/>
  <c r="Z60" i="8"/>
  <c r="W61" i="8"/>
  <c r="X61" i="8"/>
  <c r="Z61" i="8"/>
  <c r="W62" i="8"/>
  <c r="X62" i="8"/>
  <c r="Z62" i="8"/>
  <c r="W63" i="8"/>
  <c r="X63" i="8"/>
  <c r="Z63" i="8"/>
  <c r="W64" i="8"/>
  <c r="X64" i="8"/>
  <c r="Z64" i="8"/>
  <c r="W65" i="8"/>
  <c r="X65" i="8"/>
  <c r="Z65" i="8"/>
  <c r="W66" i="8"/>
  <c r="X66" i="8"/>
  <c r="Z66" i="8"/>
  <c r="W67" i="8"/>
  <c r="X67" i="8"/>
  <c r="Z67" i="8"/>
  <c r="X68" i="8"/>
  <c r="Z68" i="8"/>
  <c r="P54" i="8"/>
  <c r="Q54" i="8"/>
  <c r="S54" i="8"/>
  <c r="P55" i="8"/>
  <c r="Q55" i="8"/>
  <c r="S55" i="8"/>
  <c r="P56" i="8"/>
  <c r="Q56" i="8"/>
  <c r="S56" i="8"/>
  <c r="P57" i="8"/>
  <c r="Q57" i="8"/>
  <c r="S57" i="8"/>
  <c r="P58" i="8"/>
  <c r="Q58" i="8"/>
  <c r="S58" i="8"/>
  <c r="P59" i="8"/>
  <c r="Q59" i="8"/>
  <c r="S59" i="8"/>
  <c r="P60" i="8"/>
  <c r="Q60" i="8"/>
  <c r="S60" i="8"/>
  <c r="P61" i="8"/>
  <c r="Q61" i="8"/>
  <c r="S61" i="8"/>
  <c r="P62" i="8"/>
  <c r="Q62" i="8"/>
  <c r="S62" i="8"/>
  <c r="P63" i="8"/>
  <c r="Q63" i="8"/>
  <c r="S63" i="8"/>
  <c r="P64" i="8"/>
  <c r="Q64" i="8"/>
  <c r="S64" i="8"/>
  <c r="P65" i="8"/>
  <c r="Q65" i="8"/>
  <c r="S65" i="8"/>
  <c r="P66" i="8"/>
  <c r="Q66" i="8"/>
  <c r="S66" i="8"/>
  <c r="P67" i="8"/>
  <c r="Q67" i="8"/>
  <c r="S67" i="8"/>
  <c r="Q68" i="8"/>
  <c r="S68" i="8"/>
  <c r="I54" i="8"/>
  <c r="J54" i="8"/>
  <c r="L54" i="8"/>
  <c r="I55" i="8"/>
  <c r="J55" i="8"/>
  <c r="L55" i="8"/>
  <c r="I56" i="8"/>
  <c r="J56" i="8"/>
  <c r="K56" i="8"/>
  <c r="L56" i="8"/>
  <c r="I57" i="8"/>
  <c r="J57" i="8"/>
  <c r="L57" i="8"/>
  <c r="I58" i="8"/>
  <c r="J58" i="8"/>
  <c r="L58" i="8"/>
  <c r="I59" i="8"/>
  <c r="J59" i="8"/>
  <c r="L59" i="8"/>
  <c r="I60" i="8"/>
  <c r="J60" i="8"/>
  <c r="L60" i="8"/>
  <c r="I61" i="8"/>
  <c r="J61" i="8"/>
  <c r="L61" i="8"/>
  <c r="I62" i="8"/>
  <c r="J62" i="8"/>
  <c r="L62" i="8"/>
  <c r="I63" i="8"/>
  <c r="J63" i="8"/>
  <c r="L63" i="8"/>
  <c r="I64" i="8"/>
  <c r="J64" i="8"/>
  <c r="L64" i="8"/>
  <c r="I65" i="8"/>
  <c r="J65" i="8"/>
  <c r="L65" i="8"/>
  <c r="I66" i="8"/>
  <c r="J66" i="8"/>
  <c r="L66" i="8"/>
  <c r="I67" i="8"/>
  <c r="J67" i="8"/>
  <c r="L67" i="8"/>
  <c r="J68" i="8"/>
  <c r="L68" i="8"/>
  <c r="AE53" i="8"/>
  <c r="X53" i="8"/>
  <c r="Q53" i="8"/>
  <c r="J53" i="8"/>
  <c r="C53" i="8"/>
  <c r="C54" i="8"/>
  <c r="C55" i="8"/>
  <c r="C56" i="8"/>
  <c r="C57" i="8"/>
  <c r="C58" i="8"/>
  <c r="C59" i="8"/>
  <c r="C60" i="8"/>
  <c r="C61" i="8"/>
  <c r="C62" i="8"/>
  <c r="C63" i="8"/>
  <c r="C64" i="8"/>
  <c r="C65" i="8"/>
  <c r="C66" i="8"/>
  <c r="C68" i="8"/>
  <c r="AG53" i="8"/>
  <c r="Z53" i="8"/>
  <c r="S53" i="8"/>
  <c r="L53" i="8"/>
  <c r="AD53" i="8"/>
  <c r="P53" i="8"/>
  <c r="W53" i="8"/>
  <c r="I53" i="8"/>
  <c r="B54" i="8"/>
  <c r="E54" i="8"/>
  <c r="B55" i="8"/>
  <c r="E55" i="8"/>
  <c r="B56" i="8"/>
  <c r="E56" i="8"/>
  <c r="F56" i="8" s="1"/>
  <c r="B57" i="8"/>
  <c r="E57" i="8"/>
  <c r="B58" i="8"/>
  <c r="E58" i="8"/>
  <c r="B59" i="8"/>
  <c r="E59" i="8"/>
  <c r="B60" i="8"/>
  <c r="E60" i="8"/>
  <c r="B61" i="8"/>
  <c r="E61" i="8"/>
  <c r="B62" i="8"/>
  <c r="E62" i="8"/>
  <c r="B63" i="8"/>
  <c r="E63" i="8"/>
  <c r="B64" i="8"/>
  <c r="D64" i="8" s="1"/>
  <c r="E64" i="8"/>
  <c r="B65" i="8"/>
  <c r="E65" i="8"/>
  <c r="B66" i="8"/>
  <c r="E66" i="8"/>
  <c r="B67" i="8"/>
  <c r="E68" i="8"/>
  <c r="E53" i="8"/>
  <c r="B53" i="8"/>
  <c r="P68" i="8"/>
  <c r="I68" i="8"/>
  <c r="E90" i="8"/>
  <c r="F90" i="8"/>
  <c r="B90" i="8"/>
  <c r="B55" i="6"/>
  <c r="B56" i="6"/>
  <c r="A31" i="8" s="1"/>
  <c r="AC31" i="8" s="1"/>
  <c r="B57" i="6"/>
  <c r="A32" i="8" s="1"/>
  <c r="V32" i="8" s="1"/>
  <c r="B58" i="6"/>
  <c r="A33" i="8" s="1"/>
  <c r="AJ33" i="8" s="1"/>
  <c r="B59" i="6"/>
  <c r="A34" i="8" s="1"/>
  <c r="AJ34" i="8" s="1"/>
  <c r="B60" i="6"/>
  <c r="A35" i="8" s="1"/>
  <c r="H35" i="8" s="1"/>
  <c r="B61" i="6"/>
  <c r="A36" i="8" s="1"/>
  <c r="V36" i="8" s="1"/>
  <c r="B62" i="6"/>
  <c r="A37" i="8" s="1"/>
  <c r="AJ37" i="8" s="1"/>
  <c r="B63" i="6"/>
  <c r="A38" i="8" s="1"/>
  <c r="AJ38" i="8" s="1"/>
  <c r="B64" i="6"/>
  <c r="A39" i="8" s="1"/>
  <c r="H39" i="8" s="1"/>
  <c r="B65" i="6"/>
  <c r="A40" i="8" s="1"/>
  <c r="V40" i="8" s="1"/>
  <c r="B66" i="6"/>
  <c r="A41" i="8" s="1"/>
  <c r="AJ41" i="8" s="1"/>
  <c r="B52" i="6"/>
  <c r="A27" i="8" s="1"/>
  <c r="B53" i="6"/>
  <c r="A28" i="8" s="1"/>
  <c r="B54" i="6"/>
  <c r="A29" i="8" s="1"/>
  <c r="H29" i="8" s="1"/>
  <c r="B51" i="6"/>
  <c r="A26" i="8" s="1"/>
  <c r="AJ26" i="8" s="1"/>
  <c r="W27" i="8"/>
  <c r="W28" i="8"/>
  <c r="W29" i="8"/>
  <c r="W30" i="8"/>
  <c r="W31" i="8"/>
  <c r="W32" i="8"/>
  <c r="W33" i="8"/>
  <c r="W34" i="8"/>
  <c r="W35" i="8"/>
  <c r="W36" i="8"/>
  <c r="W37" i="8"/>
  <c r="W38" i="8"/>
  <c r="W39" i="8"/>
  <c r="W40" i="8"/>
  <c r="W41" i="8"/>
  <c r="W7" i="8"/>
  <c r="W8" i="8"/>
  <c r="W9" i="8"/>
  <c r="W10" i="8"/>
  <c r="W11" i="8"/>
  <c r="W12" i="8"/>
  <c r="W13" i="8"/>
  <c r="W14" i="8"/>
  <c r="W15" i="8"/>
  <c r="W16" i="8"/>
  <c r="W17" i="8"/>
  <c r="W18" i="8"/>
  <c r="W19" i="8"/>
  <c r="W20" i="8"/>
  <c r="W21" i="8"/>
  <c r="S7" i="8"/>
  <c r="S8" i="8"/>
  <c r="S9" i="8"/>
  <c r="S10" i="8"/>
  <c r="S11" i="8"/>
  <c r="S12" i="8"/>
  <c r="S13" i="8"/>
  <c r="S14" i="8"/>
  <c r="S15" i="8"/>
  <c r="S16" i="8"/>
  <c r="S17" i="8"/>
  <c r="S18" i="8"/>
  <c r="S19" i="8"/>
  <c r="S20" i="8"/>
  <c r="S21" i="8"/>
  <c r="P7" i="8"/>
  <c r="P8" i="8"/>
  <c r="P9" i="8"/>
  <c r="P10" i="8"/>
  <c r="P11" i="8"/>
  <c r="P12" i="8"/>
  <c r="P13" i="8"/>
  <c r="P14" i="8"/>
  <c r="P15" i="8"/>
  <c r="P16" i="8"/>
  <c r="R16" i="8" s="1"/>
  <c r="P17" i="8"/>
  <c r="P18" i="8"/>
  <c r="P19" i="8"/>
  <c r="P20" i="8"/>
  <c r="P21" i="8"/>
  <c r="I27" i="8"/>
  <c r="I28" i="8"/>
  <c r="I29" i="8"/>
  <c r="I30" i="8"/>
  <c r="I31" i="8"/>
  <c r="I32" i="8"/>
  <c r="I33" i="8"/>
  <c r="I34" i="8"/>
  <c r="I35" i="8"/>
  <c r="I36" i="8"/>
  <c r="I37" i="8"/>
  <c r="I38" i="8"/>
  <c r="I39" i="8"/>
  <c r="I40" i="8"/>
  <c r="I41" i="8"/>
  <c r="I7" i="8"/>
  <c r="I8" i="8"/>
  <c r="I9" i="8"/>
  <c r="I10" i="8"/>
  <c r="I11" i="8"/>
  <c r="I12" i="8"/>
  <c r="I13" i="8"/>
  <c r="I14" i="8"/>
  <c r="I15" i="8"/>
  <c r="I16" i="8"/>
  <c r="I17" i="8"/>
  <c r="I18" i="8"/>
  <c r="I19" i="8"/>
  <c r="I20" i="8"/>
  <c r="I21" i="8"/>
  <c r="B27" i="8"/>
  <c r="B28" i="8"/>
  <c r="B29" i="8"/>
  <c r="A30" i="8"/>
  <c r="AJ30" i="8" s="1"/>
  <c r="B30" i="8"/>
  <c r="B31" i="8"/>
  <c r="B32" i="8"/>
  <c r="B33" i="8"/>
  <c r="B34" i="8"/>
  <c r="B35" i="8"/>
  <c r="B36" i="8"/>
  <c r="B37" i="8"/>
  <c r="B38" i="8"/>
  <c r="B39" i="8"/>
  <c r="B40" i="8"/>
  <c r="B41" i="8"/>
  <c r="A15" i="8"/>
  <c r="AJ15" i="8" s="1"/>
  <c r="B15" i="8"/>
  <c r="A16" i="8"/>
  <c r="AJ16" i="8" s="1"/>
  <c r="B16" i="8"/>
  <c r="A17" i="8"/>
  <c r="V17" i="8" s="1"/>
  <c r="B17" i="8"/>
  <c r="A18" i="8"/>
  <c r="O18" i="8" s="1"/>
  <c r="B18" i="8"/>
  <c r="A19" i="8"/>
  <c r="O19" i="8" s="1"/>
  <c r="B19" i="8"/>
  <c r="A20" i="8"/>
  <c r="AC20" i="8" s="1"/>
  <c r="B20" i="8"/>
  <c r="A21" i="8"/>
  <c r="AJ21" i="8" s="1"/>
  <c r="B21" i="8"/>
  <c r="A14" i="8"/>
  <c r="AJ14" i="8" s="1"/>
  <c r="B14" i="8"/>
  <c r="A13" i="8"/>
  <c r="AJ13" i="8" s="1"/>
  <c r="B13" i="8"/>
  <c r="A12" i="8"/>
  <c r="AC12" i="8" s="1"/>
  <c r="B12" i="8"/>
  <c r="A11" i="8"/>
  <c r="O11" i="8" s="1"/>
  <c r="B11" i="8"/>
  <c r="A10" i="8"/>
  <c r="O10" i="8" s="1"/>
  <c r="B10" i="8"/>
  <c r="A9" i="8"/>
  <c r="V9" i="8" s="1"/>
  <c r="B9" i="8"/>
  <c r="A8" i="8"/>
  <c r="AJ8" i="8" s="1"/>
  <c r="B8" i="8"/>
  <c r="A7" i="8"/>
  <c r="AJ7" i="8" s="1"/>
  <c r="B7" i="8"/>
  <c r="A6" i="8"/>
  <c r="AJ6" i="8" s="1"/>
  <c r="E28" i="8"/>
  <c r="E29" i="8"/>
  <c r="E30" i="8"/>
  <c r="E31" i="8"/>
  <c r="E32" i="8"/>
  <c r="E33" i="8"/>
  <c r="AJ45" i="8"/>
  <c r="AC45" i="8"/>
  <c r="AL26" i="8"/>
  <c r="AL27" i="8"/>
  <c r="AL28" i="8"/>
  <c r="AL29" i="8"/>
  <c r="AL30" i="8"/>
  <c r="AL31" i="8"/>
  <c r="AL32" i="8"/>
  <c r="AL33" i="8"/>
  <c r="AL34" i="8"/>
  <c r="AL35" i="8"/>
  <c r="AL36" i="8"/>
  <c r="AL37" i="8"/>
  <c r="AL38" i="8"/>
  <c r="AL39" i="8"/>
  <c r="AL40" i="8"/>
  <c r="AL41" i="8"/>
  <c r="AE26" i="8"/>
  <c r="AE27" i="8"/>
  <c r="AE28" i="8"/>
  <c r="AE29" i="8"/>
  <c r="AE30" i="8"/>
  <c r="AE31" i="8"/>
  <c r="AE32" i="8"/>
  <c r="AE33" i="8"/>
  <c r="AE34" i="8"/>
  <c r="AE35" i="8"/>
  <c r="AE36" i="8"/>
  <c r="AE37" i="8"/>
  <c r="AE38" i="8"/>
  <c r="AE39" i="8"/>
  <c r="AE40" i="8"/>
  <c r="AE41" i="8"/>
  <c r="X26" i="8"/>
  <c r="X27" i="8"/>
  <c r="X28" i="8"/>
  <c r="X29" i="8"/>
  <c r="X30" i="8"/>
  <c r="X31" i="8"/>
  <c r="X32" i="8"/>
  <c r="X33" i="8"/>
  <c r="X34" i="8"/>
  <c r="X35" i="8"/>
  <c r="X36" i="8"/>
  <c r="X37" i="8"/>
  <c r="X38" i="8"/>
  <c r="X39" i="8"/>
  <c r="X40" i="8"/>
  <c r="X41" i="8"/>
  <c r="Q26" i="8"/>
  <c r="Q27" i="8"/>
  <c r="Q28" i="8"/>
  <c r="Q29" i="8"/>
  <c r="Q30" i="8"/>
  <c r="Q31" i="8"/>
  <c r="Q32" i="8"/>
  <c r="Q33" i="8"/>
  <c r="Q34" i="8"/>
  <c r="Q35" i="8"/>
  <c r="Q36" i="8"/>
  <c r="Q37" i="8"/>
  <c r="Q38" i="8"/>
  <c r="Q39" i="8"/>
  <c r="Q40" i="8"/>
  <c r="Q41" i="8"/>
  <c r="J26" i="8"/>
  <c r="J27" i="8"/>
  <c r="J28" i="8"/>
  <c r="J29" i="8"/>
  <c r="J30" i="8"/>
  <c r="J31" i="8"/>
  <c r="J32" i="8"/>
  <c r="J33" i="8"/>
  <c r="J34" i="8"/>
  <c r="J35" i="8"/>
  <c r="J36" i="8"/>
  <c r="J37" i="8"/>
  <c r="J38" i="8"/>
  <c r="J39" i="8"/>
  <c r="J40" i="8"/>
  <c r="J41" i="8"/>
  <c r="L26" i="8"/>
  <c r="L27" i="8"/>
  <c r="L28" i="8"/>
  <c r="L29" i="8"/>
  <c r="L30" i="8"/>
  <c r="L31" i="8"/>
  <c r="L32" i="8"/>
  <c r="L33" i="8"/>
  <c r="L34" i="8"/>
  <c r="L35" i="8"/>
  <c r="L36" i="8"/>
  <c r="L37" i="8"/>
  <c r="L38" i="8"/>
  <c r="L39" i="8"/>
  <c r="L40" i="8"/>
  <c r="L41" i="8"/>
  <c r="L7" i="8"/>
  <c r="L8" i="8"/>
  <c r="L9" i="8"/>
  <c r="L10" i="8"/>
  <c r="L11" i="8"/>
  <c r="L12" i="8"/>
  <c r="L13" i="8"/>
  <c r="L14" i="8"/>
  <c r="L15" i="8"/>
  <c r="L16" i="8"/>
  <c r="L17" i="8"/>
  <c r="L18" i="8"/>
  <c r="L19" i="8"/>
  <c r="L20" i="8"/>
  <c r="L21" i="8"/>
  <c r="L6" i="8"/>
  <c r="AN41" i="8"/>
  <c r="AN40" i="8"/>
  <c r="AN39" i="8"/>
  <c r="AN38" i="8"/>
  <c r="AN37" i="8"/>
  <c r="AN36" i="8"/>
  <c r="AN35" i="8"/>
  <c r="AN34" i="8"/>
  <c r="AN33" i="8"/>
  <c r="AN32" i="8"/>
  <c r="AN31" i="8"/>
  <c r="AN30" i="8"/>
  <c r="AN29" i="8"/>
  <c r="AN28" i="8"/>
  <c r="AN27" i="8"/>
  <c r="AN26" i="8"/>
  <c r="AN21" i="8"/>
  <c r="AN20" i="8"/>
  <c r="AN19" i="8"/>
  <c r="AN18" i="8"/>
  <c r="AN17" i="8"/>
  <c r="AN16" i="8"/>
  <c r="AN15" i="8"/>
  <c r="AN14" i="8"/>
  <c r="AN13" i="8"/>
  <c r="AN12" i="8"/>
  <c r="AN11" i="8"/>
  <c r="AN10" i="8"/>
  <c r="AN9" i="8"/>
  <c r="AN8" i="8"/>
  <c r="AN7" i="8"/>
  <c r="AN6" i="8"/>
  <c r="AG41" i="8"/>
  <c r="AG40" i="8"/>
  <c r="AG39" i="8"/>
  <c r="AG38" i="8"/>
  <c r="AG37" i="8"/>
  <c r="AG36" i="8"/>
  <c r="AG35" i="8"/>
  <c r="AG34" i="8"/>
  <c r="AG33" i="8"/>
  <c r="AG32" i="8"/>
  <c r="AG31" i="8"/>
  <c r="AG30" i="8"/>
  <c r="AG29" i="8"/>
  <c r="AG28" i="8"/>
  <c r="AG27" i="8"/>
  <c r="AG26" i="8"/>
  <c r="AG21" i="8"/>
  <c r="AG20" i="8"/>
  <c r="AG19" i="8"/>
  <c r="AG18" i="8"/>
  <c r="AG17" i="8"/>
  <c r="AG16" i="8"/>
  <c r="AG15" i="8"/>
  <c r="AG14" i="8"/>
  <c r="AG13" i="8"/>
  <c r="AG12" i="8"/>
  <c r="AG11" i="8"/>
  <c r="AG10" i="8"/>
  <c r="AG9" i="8"/>
  <c r="AG8" i="8"/>
  <c r="AG7" i="8"/>
  <c r="AG6" i="8"/>
  <c r="AL21" i="8"/>
  <c r="AL20" i="8"/>
  <c r="AL19" i="8"/>
  <c r="AL18" i="8"/>
  <c r="AL17" i="8"/>
  <c r="AL15" i="8"/>
  <c r="AL14" i="8"/>
  <c r="AL13" i="8"/>
  <c r="AL12" i="8"/>
  <c r="AL11" i="8"/>
  <c r="AL10" i="8"/>
  <c r="AL9" i="8"/>
  <c r="AL8" i="8"/>
  <c r="AL7" i="8"/>
  <c r="AL6" i="8"/>
  <c r="AE21" i="8"/>
  <c r="AE20" i="8"/>
  <c r="AE19" i="8"/>
  <c r="AE18" i="8"/>
  <c r="AE17" i="8"/>
  <c r="AE16" i="8"/>
  <c r="AE15" i="8"/>
  <c r="AE14" i="8"/>
  <c r="AE13" i="8"/>
  <c r="AE12" i="8"/>
  <c r="AE11" i="8"/>
  <c r="AE10" i="8"/>
  <c r="AE9" i="8"/>
  <c r="AE8" i="8"/>
  <c r="AE7" i="8"/>
  <c r="AE6" i="8"/>
  <c r="C64" i="3"/>
  <c r="C63" i="3"/>
  <c r="F57" i="8" l="1"/>
  <c r="D57" i="8"/>
  <c r="M60" i="8"/>
  <c r="M55" i="8"/>
  <c r="T67" i="8"/>
  <c r="T59" i="8"/>
  <c r="T55" i="8"/>
  <c r="AA64" i="8"/>
  <c r="AF60" i="8"/>
  <c r="R66" i="8"/>
  <c r="D65" i="8"/>
  <c r="Y67" i="8"/>
  <c r="F63" i="8"/>
  <c r="R58" i="8"/>
  <c r="K64" i="8"/>
  <c r="R60" i="8"/>
  <c r="F60" i="8"/>
  <c r="Y59" i="8"/>
  <c r="AA56" i="8"/>
  <c r="M63" i="8"/>
  <c r="D59" i="8"/>
  <c r="T54" i="8"/>
  <c r="M56" i="8"/>
  <c r="M67" i="8"/>
  <c r="R63" i="8"/>
  <c r="K68" i="8"/>
  <c r="T58" i="8"/>
  <c r="D56" i="8"/>
  <c r="K62" i="8"/>
  <c r="Y63" i="8"/>
  <c r="M54" i="8"/>
  <c r="R55" i="8"/>
  <c r="T66" i="8"/>
  <c r="D61" i="8"/>
  <c r="F64" i="8"/>
  <c r="M66" i="8"/>
  <c r="AF66" i="8"/>
  <c r="F67" i="8"/>
  <c r="K61" i="8"/>
  <c r="K58" i="8"/>
  <c r="AF63" i="8"/>
  <c r="AF58" i="8"/>
  <c r="R64" i="8"/>
  <c r="T62" i="8"/>
  <c r="Y55" i="8"/>
  <c r="AA60" i="8"/>
  <c r="F59" i="8"/>
  <c r="K60" i="8"/>
  <c r="T63" i="8"/>
  <c r="R59" i="8"/>
  <c r="T57" i="8"/>
  <c r="AF62" i="8"/>
  <c r="AH57" i="8"/>
  <c r="R61" i="8"/>
  <c r="AF54" i="8"/>
  <c r="D55" i="8"/>
  <c r="R56" i="8"/>
  <c r="AF59" i="8"/>
  <c r="R67" i="8"/>
  <c r="K67" i="8"/>
  <c r="AF67" i="8"/>
  <c r="AH56" i="8"/>
  <c r="AH65" i="8"/>
  <c r="AF65" i="8"/>
  <c r="A84" i="8"/>
  <c r="AC62" i="8"/>
  <c r="AC57" i="8"/>
  <c r="H61" i="8"/>
  <c r="H56" i="8"/>
  <c r="O67" i="8"/>
  <c r="T68" i="8"/>
  <c r="R68" i="8"/>
  <c r="O59" i="8"/>
  <c r="A67" i="8"/>
  <c r="A65" i="8"/>
  <c r="A63" i="8"/>
  <c r="A61" i="8"/>
  <c r="A59" i="8"/>
  <c r="A57" i="8"/>
  <c r="A55" i="8"/>
  <c r="A85" i="8"/>
  <c r="A77" i="8"/>
  <c r="D90" i="8"/>
  <c r="H68" i="8"/>
  <c r="H63" i="8"/>
  <c r="H58" i="8"/>
  <c r="K54" i="8"/>
  <c r="O64" i="8"/>
  <c r="R62" i="8"/>
  <c r="O56" i="8"/>
  <c r="R54" i="8"/>
  <c r="AA66" i="8"/>
  <c r="AA62" i="8"/>
  <c r="AA58" i="8"/>
  <c r="AC59" i="8"/>
  <c r="A76" i="8"/>
  <c r="AC64" i="8"/>
  <c r="F66" i="8"/>
  <c r="F62" i="8"/>
  <c r="F58" i="8"/>
  <c r="F54" i="8"/>
  <c r="A83" i="8"/>
  <c r="A75" i="8"/>
  <c r="H66" i="8"/>
  <c r="K59" i="8"/>
  <c r="R65" i="8"/>
  <c r="W68" i="8"/>
  <c r="AA68" i="8" s="1"/>
  <c r="Y66" i="8"/>
  <c r="Y62" i="8"/>
  <c r="Y58" i="8"/>
  <c r="Y54" i="8"/>
  <c r="AC67" i="8"/>
  <c r="AF55" i="8"/>
  <c r="C90" i="8"/>
  <c r="B68" i="8"/>
  <c r="F68" i="8" s="1"/>
  <c r="A66" i="8"/>
  <c r="A62" i="8"/>
  <c r="A58" i="8"/>
  <c r="A54" i="8"/>
  <c r="A82" i="8"/>
  <c r="H64" i="8"/>
  <c r="H59" i="8"/>
  <c r="K57" i="8"/>
  <c r="H54" i="8"/>
  <c r="O65" i="8"/>
  <c r="O62" i="8"/>
  <c r="T60" i="8"/>
  <c r="O57" i="8"/>
  <c r="O54" i="8"/>
  <c r="V68" i="8"/>
  <c r="V66" i="8"/>
  <c r="V64" i="8"/>
  <c r="V62" i="8"/>
  <c r="V60" i="8"/>
  <c r="V58" i="8"/>
  <c r="V56" i="8"/>
  <c r="V54" i="8"/>
  <c r="AC65" i="8"/>
  <c r="AC55" i="8"/>
  <c r="A68" i="8"/>
  <c r="F65" i="8"/>
  <c r="A64" i="8"/>
  <c r="F61" i="8"/>
  <c r="A60" i="8"/>
  <c r="A56" i="8"/>
  <c r="A74" i="8"/>
  <c r="A81" i="8"/>
  <c r="A89" i="8"/>
  <c r="M68" i="8"/>
  <c r="M62" i="8"/>
  <c r="H57" i="8"/>
  <c r="O68" i="8"/>
  <c r="O60" i="8"/>
  <c r="AA65" i="8"/>
  <c r="AA61" i="8"/>
  <c r="AA57" i="8"/>
  <c r="AH64" i="8"/>
  <c r="AF61" i="8"/>
  <c r="AC60" i="8"/>
  <c r="AC58" i="8"/>
  <c r="A88" i="8"/>
  <c r="A80" i="8"/>
  <c r="AC53" i="8"/>
  <c r="H67" i="8"/>
  <c r="K65" i="8"/>
  <c r="H62" i="8"/>
  <c r="K55" i="8"/>
  <c r="O63" i="8"/>
  <c r="O55" i="8"/>
  <c r="Y65" i="8"/>
  <c r="Y61" i="8"/>
  <c r="Y57" i="8"/>
  <c r="AD68" i="8"/>
  <c r="AC63" i="8"/>
  <c r="D67" i="8"/>
  <c r="D63" i="8"/>
  <c r="A87" i="8"/>
  <c r="A79" i="8"/>
  <c r="H65" i="8"/>
  <c r="H60" i="8"/>
  <c r="H55" i="8"/>
  <c r="AC68" i="8"/>
  <c r="AC66" i="8"/>
  <c r="AC61" i="8"/>
  <c r="F55" i="8"/>
  <c r="A86" i="8"/>
  <c r="A78" i="8"/>
  <c r="K66" i="8"/>
  <c r="M64" i="8"/>
  <c r="K63" i="8"/>
  <c r="M59" i="8"/>
  <c r="M58" i="8"/>
  <c r="O66" i="8"/>
  <c r="T64" i="8"/>
  <c r="O61" i="8"/>
  <c r="O58" i="8"/>
  <c r="T56" i="8"/>
  <c r="V67" i="8"/>
  <c r="V65" i="8"/>
  <c r="V63" i="8"/>
  <c r="V61" i="8"/>
  <c r="V59" i="8"/>
  <c r="V57" i="8"/>
  <c r="V55" i="8"/>
  <c r="AF57" i="8"/>
  <c r="AC56" i="8"/>
  <c r="AC54" i="8"/>
  <c r="AH66" i="8"/>
  <c r="AH62" i="8"/>
  <c r="AH58" i="8"/>
  <c r="AH54" i="8"/>
  <c r="AH67" i="8"/>
  <c r="AH63" i="8"/>
  <c r="AH59" i="8"/>
  <c r="AH55" i="8"/>
  <c r="Y64" i="8"/>
  <c r="Y60" i="8"/>
  <c r="Y56" i="8"/>
  <c r="AA54" i="8"/>
  <c r="AA67" i="8"/>
  <c r="AA63" i="8"/>
  <c r="AA59" i="8"/>
  <c r="AA55" i="8"/>
  <c r="T61" i="8"/>
  <c r="T65" i="8"/>
  <c r="R57" i="8"/>
  <c r="M65" i="8"/>
  <c r="M61" i="8"/>
  <c r="M57" i="8"/>
  <c r="D60" i="8"/>
  <c r="D66" i="8"/>
  <c r="D62" i="8"/>
  <c r="D58" i="8"/>
  <c r="D54" i="8"/>
  <c r="V7" i="8"/>
  <c r="AC16" i="8"/>
  <c r="H7" i="8"/>
  <c r="AC11" i="8"/>
  <c r="O14" i="8"/>
  <c r="V18" i="8"/>
  <c r="V11" i="8"/>
  <c r="AC8" i="8"/>
  <c r="H18" i="8"/>
  <c r="H11" i="8"/>
  <c r="O7" i="8"/>
  <c r="AC7" i="8"/>
  <c r="AJ18" i="8"/>
  <c r="AJ17" i="8"/>
  <c r="AJ9" i="8"/>
  <c r="H20" i="8"/>
  <c r="H16" i="8"/>
  <c r="H12" i="8"/>
  <c r="H8" i="8"/>
  <c r="O17" i="8"/>
  <c r="O9" i="8"/>
  <c r="V20" i="8"/>
  <c r="V16" i="8"/>
  <c r="AC36" i="8" s="1"/>
  <c r="V12" i="8"/>
  <c r="V8" i="8"/>
  <c r="AC19" i="8"/>
  <c r="AJ20" i="8"/>
  <c r="AJ12" i="8"/>
  <c r="O16" i="8"/>
  <c r="O8" i="8"/>
  <c r="AC18" i="8"/>
  <c r="AC10" i="8"/>
  <c r="AJ19" i="8"/>
  <c r="AJ11" i="8"/>
  <c r="H19" i="8"/>
  <c r="H15" i="8"/>
  <c r="O15" i="8"/>
  <c r="V19" i="8"/>
  <c r="V15" i="8"/>
  <c r="AC17" i="8"/>
  <c r="AC9" i="8"/>
  <c r="AJ10" i="8"/>
  <c r="H14" i="8"/>
  <c r="V14" i="8"/>
  <c r="AC15" i="8"/>
  <c r="O20" i="8"/>
  <c r="O12" i="8"/>
  <c r="AC14" i="8"/>
  <c r="AC6" i="8"/>
  <c r="AJ29" i="8"/>
  <c r="H10" i="8"/>
  <c r="O21" i="8"/>
  <c r="O13" i="8"/>
  <c r="AC29" i="8"/>
  <c r="H21" i="8"/>
  <c r="H17" i="8"/>
  <c r="H13" i="8"/>
  <c r="H9" i="8"/>
  <c r="V21" i="8"/>
  <c r="V13" i="8"/>
  <c r="AC21" i="8"/>
  <c r="AC13" i="8"/>
  <c r="V29" i="8"/>
  <c r="V10" i="8"/>
  <c r="H38" i="8"/>
  <c r="H34" i="8"/>
  <c r="H30" i="8"/>
  <c r="AC30" i="8"/>
  <c r="AC37" i="8"/>
  <c r="AJ40" i="8"/>
  <c r="AJ36" i="8"/>
  <c r="AJ32" i="8"/>
  <c r="V39" i="8"/>
  <c r="V35" i="8"/>
  <c r="V31" i="8"/>
  <c r="H41" i="8"/>
  <c r="H37" i="8"/>
  <c r="H33" i="8"/>
  <c r="AC35" i="8"/>
  <c r="AJ39" i="8"/>
  <c r="AJ35" i="8"/>
  <c r="AJ31" i="8"/>
  <c r="V38" i="8"/>
  <c r="V34" i="8"/>
  <c r="V30" i="8"/>
  <c r="H40" i="8"/>
  <c r="H36" i="8"/>
  <c r="H32" i="8"/>
  <c r="AC34" i="8"/>
  <c r="AC41" i="8"/>
  <c r="AC33" i="8"/>
  <c r="V41" i="8"/>
  <c r="V37" i="8"/>
  <c r="V33" i="8"/>
  <c r="AC40" i="8"/>
  <c r="AC32" i="8"/>
  <c r="H31" i="8"/>
  <c r="V28" i="8"/>
  <c r="AJ28" i="8"/>
  <c r="AC28" i="8"/>
  <c r="H28" i="8"/>
  <c r="V27" i="8"/>
  <c r="AJ27" i="8"/>
  <c r="AC27" i="8"/>
  <c r="H27" i="8"/>
  <c r="AC26" i="8"/>
  <c r="AF68" i="8" l="1"/>
  <c r="AH68" i="8"/>
  <c r="D68" i="8"/>
  <c r="Y68" i="8"/>
  <c r="AD38" i="8"/>
  <c r="AD39" i="8"/>
  <c r="AF39" i="8" s="1"/>
  <c r="Z38" i="8"/>
  <c r="AA38" i="8" s="1"/>
  <c r="Z39" i="8"/>
  <c r="AA39" i="8" s="1"/>
  <c r="Y39" i="8"/>
  <c r="P27" i="8"/>
  <c r="P28" i="8"/>
  <c r="P29" i="8"/>
  <c r="P30" i="8"/>
  <c r="P31" i="8"/>
  <c r="P32" i="8"/>
  <c r="P33" i="8"/>
  <c r="P34" i="8"/>
  <c r="P35" i="8"/>
  <c r="P36" i="8"/>
  <c r="P37" i="8"/>
  <c r="P38" i="8"/>
  <c r="P39" i="8"/>
  <c r="R39" i="8" s="1"/>
  <c r="P40" i="8"/>
  <c r="P41" i="8"/>
  <c r="P26" i="8"/>
  <c r="S38" i="8"/>
  <c r="S39" i="8"/>
  <c r="M39" i="8"/>
  <c r="M38" i="8"/>
  <c r="K39" i="8"/>
  <c r="E39" i="8"/>
  <c r="F39" i="8" s="1"/>
  <c r="E38" i="8"/>
  <c r="C39" i="8"/>
  <c r="C38" i="8"/>
  <c r="D38" i="8" s="1"/>
  <c r="O39" i="8"/>
  <c r="AC39" i="8" s="1"/>
  <c r="O38" i="8"/>
  <c r="AC38" i="8" s="1"/>
  <c r="AD27" i="8"/>
  <c r="AD28" i="8"/>
  <c r="AD29" i="8"/>
  <c r="AD30" i="8"/>
  <c r="AD31" i="8"/>
  <c r="AD32" i="8"/>
  <c r="AD33" i="8"/>
  <c r="AD34" i="8"/>
  <c r="AD35" i="8"/>
  <c r="AD36" i="8"/>
  <c r="AD37" i="8"/>
  <c r="AD40" i="8"/>
  <c r="AD41" i="8"/>
  <c r="AD26" i="8"/>
  <c r="T39" i="8" l="1"/>
  <c r="T38" i="8"/>
  <c r="AF38" i="8"/>
  <c r="AM39" i="8"/>
  <c r="AM38" i="8"/>
  <c r="D39" i="8"/>
  <c r="F38" i="8"/>
  <c r="Y38" i="8"/>
  <c r="P15" i="5"/>
  <c r="Q15" i="5"/>
  <c r="R38" i="8" l="1"/>
  <c r="K38" i="8"/>
  <c r="AK18" i="8"/>
  <c r="AK19" i="8"/>
  <c r="AD18" i="8"/>
  <c r="AD19" i="8"/>
  <c r="X18" i="8"/>
  <c r="X19" i="8"/>
  <c r="Q18" i="8"/>
  <c r="Q19" i="8"/>
  <c r="AH39" i="8"/>
  <c r="Z19" i="8"/>
  <c r="J18" i="8"/>
  <c r="J19" i="8"/>
  <c r="AH38" i="8"/>
  <c r="Z18" i="8"/>
  <c r="R18" i="8" l="1"/>
  <c r="AO38" i="8"/>
  <c r="AO39" i="8"/>
  <c r="AH18" i="8"/>
  <c r="M19" i="8"/>
  <c r="AA19" i="8"/>
  <c r="AA18" i="8"/>
  <c r="AM19" i="8"/>
  <c r="AF18" i="8"/>
  <c r="AM18" i="8"/>
  <c r="K18" i="8"/>
  <c r="T19" i="8"/>
  <c r="AF19" i="8"/>
  <c r="AH19" i="8"/>
  <c r="M18" i="8"/>
  <c r="R19" i="8"/>
  <c r="AO19" i="8"/>
  <c r="K19" i="8"/>
  <c r="T18" i="8"/>
  <c r="AO18" i="8"/>
  <c r="Y19" i="8"/>
  <c r="Y18" i="8"/>
  <c r="F19" i="8" l="1"/>
  <c r="D19" i="8"/>
  <c r="D18" i="8"/>
  <c r="F18" i="8"/>
  <c r="AK7" i="8"/>
  <c r="AK8" i="8"/>
  <c r="AK9" i="8"/>
  <c r="AK10" i="8"/>
  <c r="AK11" i="8"/>
  <c r="AK12" i="8"/>
  <c r="AK13" i="8"/>
  <c r="AK14" i="8"/>
  <c r="AK15" i="8"/>
  <c r="AK16" i="8"/>
  <c r="AK17" i="8"/>
  <c r="AK20" i="8"/>
  <c r="AK21" i="8"/>
  <c r="AK6" i="8"/>
  <c r="AD7" i="8"/>
  <c r="AD8" i="8"/>
  <c r="AD9" i="8"/>
  <c r="AD10" i="8"/>
  <c r="AD11" i="8"/>
  <c r="AD12" i="8"/>
  <c r="AD13" i="8"/>
  <c r="AD14" i="8"/>
  <c r="AD15" i="8"/>
  <c r="AD16" i="8"/>
  <c r="AD17" i="8"/>
  <c r="AD20" i="8"/>
  <c r="AD21" i="8"/>
  <c r="AD6" i="8"/>
  <c r="AQ70" i="8" l="1"/>
  <c r="Z36" i="8"/>
  <c r="S36" i="8"/>
  <c r="O36" i="8"/>
  <c r="E36" i="8"/>
  <c r="C36" i="8"/>
  <c r="F36" i="8"/>
  <c r="AL16" i="8"/>
  <c r="Z16" i="8"/>
  <c r="X16" i="8"/>
  <c r="Q16" i="8"/>
  <c r="J16" i="8"/>
  <c r="F16" i="8"/>
  <c r="D16" i="8"/>
  <c r="AO36" i="8" l="1"/>
  <c r="AA36" i="8"/>
  <c r="T36" i="8"/>
  <c r="AM16" i="8"/>
  <c r="AA16" i="8"/>
  <c r="AF36" i="8"/>
  <c r="AO16" i="8"/>
  <c r="K16" i="8"/>
  <c r="Y16" i="8"/>
  <c r="K36" i="8"/>
  <c r="D36" i="8"/>
  <c r="Y36" i="8"/>
  <c r="R36" i="8"/>
  <c r="M16" i="8"/>
  <c r="AH16" i="8"/>
  <c r="AF16" i="8"/>
  <c r="T16" i="8"/>
  <c r="AM36" i="8" l="1"/>
  <c r="AH36" i="8"/>
  <c r="B6" i="8"/>
  <c r="D20" i="8" l="1"/>
  <c r="H29" i="5" l="1"/>
  <c r="AN47" i="8" l="1"/>
  <c r="AN46" i="8"/>
  <c r="AN45" i="8"/>
  <c r="AN44" i="8"/>
  <c r="AG45" i="8"/>
  <c r="AG46" i="8"/>
  <c r="AG47" i="8"/>
  <c r="AG44" i="8"/>
  <c r="G47" i="6" l="1"/>
  <c r="G67" i="6"/>
  <c r="H67" i="6"/>
  <c r="G79" i="6"/>
  <c r="H79" i="6"/>
  <c r="V53" i="8" l="1"/>
  <c r="O53" i="8"/>
  <c r="H53" i="8"/>
  <c r="A53" i="8"/>
  <c r="AK42" i="8" l="1"/>
  <c r="AK22" i="8"/>
  <c r="AD69" i="8" l="1"/>
  <c r="AH53" i="8"/>
  <c r="W69" i="8"/>
  <c r="AA53" i="8"/>
  <c r="P69" i="8"/>
  <c r="T53" i="8"/>
  <c r="AH6" i="8" l="1"/>
  <c r="AD42" i="8"/>
  <c r="AH26" i="8"/>
  <c r="AD22" i="8"/>
  <c r="G29" i="6"/>
  <c r="G49" i="6" s="1"/>
  <c r="G73" i="6" s="1"/>
  <c r="H29" i="6"/>
  <c r="H49" i="6" s="1"/>
  <c r="H73" i="6" s="1"/>
  <c r="D53" i="8"/>
  <c r="F53" i="8"/>
  <c r="B69" i="8"/>
  <c r="K53" i="8"/>
  <c r="M53" i="8"/>
  <c r="I69" i="8"/>
  <c r="H70" i="8"/>
  <c r="M69" i="8" l="1"/>
  <c r="K69" i="8"/>
  <c r="D69" i="8"/>
  <c r="H25" i="1"/>
  <c r="H24" i="1"/>
  <c r="H23" i="1"/>
  <c r="H22" i="1"/>
  <c r="H21" i="1"/>
  <c r="H10" i="1"/>
  <c r="H11" i="1"/>
  <c r="H12" i="1"/>
  <c r="K70" i="8" l="1"/>
  <c r="AA46" i="8" l="1"/>
  <c r="F70" i="6" s="1"/>
  <c r="T46" i="8"/>
  <c r="E70" i="6" s="1"/>
  <c r="M46" i="8"/>
  <c r="D70" i="6" s="1"/>
  <c r="F46" i="8"/>
  <c r="C70" i="6" s="1"/>
  <c r="D15" i="5"/>
  <c r="E15" i="5"/>
  <c r="F15" i="5"/>
  <c r="C15" i="5"/>
  <c r="G16" i="5" l="1"/>
  <c r="H16" i="5" s="1"/>
  <c r="G15" i="5"/>
  <c r="E67" i="3"/>
  <c r="G36" i="5" l="1"/>
  <c r="G13" i="1" s="1"/>
  <c r="G30" i="5"/>
  <c r="G33" i="5"/>
  <c r="G29" i="5"/>
  <c r="G35" i="5"/>
  <c r="G34" i="5"/>
  <c r="X7" i="8"/>
  <c r="X8" i="8"/>
  <c r="X9" i="8"/>
  <c r="X10" i="8"/>
  <c r="X11" i="8"/>
  <c r="X12" i="8"/>
  <c r="X13" i="8"/>
  <c r="X14" i="8"/>
  <c r="X15" i="8"/>
  <c r="X17" i="8"/>
  <c r="X20" i="8"/>
  <c r="X21" i="8"/>
  <c r="V45" i="8"/>
  <c r="O45" i="8"/>
  <c r="H45" i="8"/>
  <c r="H17" i="5" l="1"/>
  <c r="H19" i="5"/>
  <c r="B52" i="1"/>
  <c r="C27" i="8" l="1"/>
  <c r="C28" i="8"/>
  <c r="C29" i="8"/>
  <c r="C30" i="8"/>
  <c r="C31" i="8"/>
  <c r="C32" i="8"/>
  <c r="C33" i="8"/>
  <c r="C34" i="8"/>
  <c r="C35" i="8"/>
  <c r="C37" i="8"/>
  <c r="C40" i="8"/>
  <c r="C41" i="8"/>
  <c r="C26" i="8"/>
  <c r="X6" i="8"/>
  <c r="Y53" i="8" s="1"/>
  <c r="Y69" i="8" s="1"/>
  <c r="Q7" i="8"/>
  <c r="Q8" i="8"/>
  <c r="Q9" i="8"/>
  <c r="Q10" i="8"/>
  <c r="Q11" i="8"/>
  <c r="Q12" i="8"/>
  <c r="Q13" i="8"/>
  <c r="Q14" i="8"/>
  <c r="Q15" i="8"/>
  <c r="Q17" i="8"/>
  <c r="Q20" i="8"/>
  <c r="Q21" i="8"/>
  <c r="Q6" i="8"/>
  <c r="J7" i="8"/>
  <c r="J8" i="8"/>
  <c r="J9" i="8"/>
  <c r="J10" i="8"/>
  <c r="J11" i="8"/>
  <c r="J12" i="8"/>
  <c r="J13" i="8"/>
  <c r="J14" i="8"/>
  <c r="J15" i="8"/>
  <c r="J17" i="8"/>
  <c r="J20" i="8"/>
  <c r="J21" i="8"/>
  <c r="J6" i="8"/>
  <c r="C19" i="5"/>
  <c r="D19" i="5"/>
  <c r="E19" i="5"/>
  <c r="F19" i="5"/>
  <c r="B2" i="1"/>
  <c r="E32" i="5" l="1"/>
  <c r="C32" i="5"/>
  <c r="F32" i="5"/>
  <c r="D32" i="5"/>
  <c r="G19" i="5"/>
  <c r="AM14" i="8"/>
  <c r="AM13" i="8"/>
  <c r="AM7" i="8"/>
  <c r="R53" i="8"/>
  <c r="AM6" i="8"/>
  <c r="AM12" i="8"/>
  <c r="AM11" i="8"/>
  <c r="AM21" i="8"/>
  <c r="AM10" i="8"/>
  <c r="AM15" i="8"/>
  <c r="AM20" i="8"/>
  <c r="AM9" i="8"/>
  <c r="AM17" i="8"/>
  <c r="AM8" i="8"/>
  <c r="AF14" i="8"/>
  <c r="AF11" i="8"/>
  <c r="AF21" i="8"/>
  <c r="AF20" i="8"/>
  <c r="AF9" i="8"/>
  <c r="AF17" i="8"/>
  <c r="AF15" i="8"/>
  <c r="AF12" i="8"/>
  <c r="AF13" i="8"/>
  <c r="AF10" i="8"/>
  <c r="AF8" i="8"/>
  <c r="AF7" i="8"/>
  <c r="AF53" i="8"/>
  <c r="AF6" i="8"/>
  <c r="AF26" i="8"/>
  <c r="AM26" i="8"/>
  <c r="AF33" i="8"/>
  <c r="AM33" i="8"/>
  <c r="AF30" i="8"/>
  <c r="AM30" i="8"/>
  <c r="AF40" i="8"/>
  <c r="AM40" i="8"/>
  <c r="AM29" i="8"/>
  <c r="AM37" i="8"/>
  <c r="AF37" i="8"/>
  <c r="AM28" i="8"/>
  <c r="AF32" i="8"/>
  <c r="AM32" i="8"/>
  <c r="AM35" i="8"/>
  <c r="AM27" i="8"/>
  <c r="AF31" i="8"/>
  <c r="AM31" i="8"/>
  <c r="AM41" i="8"/>
  <c r="AF41" i="8"/>
  <c r="AM34" i="8"/>
  <c r="AF34" i="8"/>
  <c r="E52" i="1"/>
  <c r="F52" i="1"/>
  <c r="G52" i="1"/>
  <c r="H52" i="1"/>
  <c r="H9" i="1"/>
  <c r="H6" i="1"/>
  <c r="H30" i="5"/>
  <c r="H32" i="5"/>
  <c r="G32" i="5" l="1"/>
  <c r="H7" i="1"/>
  <c r="H8" i="1"/>
  <c r="K32" i="8"/>
  <c r="K40" i="8"/>
  <c r="K31" i="8"/>
  <c r="R69" i="8"/>
  <c r="AM42" i="8"/>
  <c r="AM22" i="8"/>
  <c r="K33" i="8"/>
  <c r="K29" i="8"/>
  <c r="AF29" i="8"/>
  <c r="K37" i="8"/>
  <c r="K41" i="8"/>
  <c r="K34" i="8"/>
  <c r="K35" i="8"/>
  <c r="AF35" i="8"/>
  <c r="AF22" i="8"/>
  <c r="AF69" i="8"/>
  <c r="K30" i="8"/>
  <c r="K28" i="8"/>
  <c r="AF28" i="8"/>
  <c r="K27" i="8"/>
  <c r="AF27" i="8"/>
  <c r="B18" i="1"/>
  <c r="B21" i="1"/>
  <c r="B23" i="1"/>
  <c r="B24" i="1"/>
  <c r="B25" i="1"/>
  <c r="B26" i="1"/>
  <c r="B12" i="1"/>
  <c r="B11" i="1"/>
  <c r="B10" i="1"/>
  <c r="B9" i="1"/>
  <c r="B6" i="1"/>
  <c r="B5" i="1"/>
  <c r="E11" i="5"/>
  <c r="E3" i="1" s="1"/>
  <c r="F11" i="5"/>
  <c r="F3" i="1" s="1"/>
  <c r="E34" i="8"/>
  <c r="E35" i="8"/>
  <c r="F69" i="8" s="1"/>
  <c r="D70" i="8" s="1"/>
  <c r="E37" i="8"/>
  <c r="E40" i="8"/>
  <c r="E41" i="8"/>
  <c r="E27" i="8"/>
  <c r="E26" i="8"/>
  <c r="S28" i="8"/>
  <c r="S29" i="8"/>
  <c r="S30" i="8"/>
  <c r="S31" i="8"/>
  <c r="S32" i="8"/>
  <c r="S33" i="8"/>
  <c r="S34" i="8"/>
  <c r="S35" i="8"/>
  <c r="S37" i="8"/>
  <c r="S40" i="8"/>
  <c r="S41" i="8"/>
  <c r="S27" i="8"/>
  <c r="S26" i="8"/>
  <c r="M35" i="8"/>
  <c r="Z28" i="8"/>
  <c r="Z29" i="8"/>
  <c r="Z30" i="8"/>
  <c r="Z31" i="8"/>
  <c r="Z32" i="8"/>
  <c r="Z33" i="8"/>
  <c r="Z34" i="8"/>
  <c r="Z35" i="8"/>
  <c r="Z37" i="8"/>
  <c r="Z40" i="8"/>
  <c r="Z41" i="8"/>
  <c r="Z27" i="8"/>
  <c r="Z26" i="8"/>
  <c r="Z8" i="8"/>
  <c r="Z9" i="8"/>
  <c r="Z10" i="8"/>
  <c r="Z11" i="8"/>
  <c r="Z12" i="8"/>
  <c r="Z13" i="8"/>
  <c r="Z14" i="8"/>
  <c r="Z15" i="8"/>
  <c r="Z17" i="8"/>
  <c r="Z20" i="8"/>
  <c r="Z21" i="8"/>
  <c r="Z7" i="8"/>
  <c r="Z6" i="8"/>
  <c r="S6" i="8"/>
  <c r="H40" i="5" l="1"/>
  <c r="C43" i="3"/>
  <c r="F47" i="8"/>
  <c r="C71" i="6" s="1"/>
  <c r="AA47" i="8"/>
  <c r="F71" i="6" s="1"/>
  <c r="T47" i="8"/>
  <c r="E71" i="6" s="1"/>
  <c r="M47" i="8"/>
  <c r="D71" i="6" s="1"/>
  <c r="AF42" i="8"/>
  <c r="AO30" i="8"/>
  <c r="AO10" i="8"/>
  <c r="AO21" i="8"/>
  <c r="AO41" i="8"/>
  <c r="AO40" i="8"/>
  <c r="AO20" i="8"/>
  <c r="AO17" i="8"/>
  <c r="AO37" i="8"/>
  <c r="AO28" i="8"/>
  <c r="AO8" i="8"/>
  <c r="AO11" i="8"/>
  <c r="AO31" i="8"/>
  <c r="AO9" i="8"/>
  <c r="AO29" i="8"/>
  <c r="AO14" i="8"/>
  <c r="AO34" i="8"/>
  <c r="AO12" i="8"/>
  <c r="AO32" i="8"/>
  <c r="AO15" i="8"/>
  <c r="AO35" i="8"/>
  <c r="AO26" i="8"/>
  <c r="AO6" i="8"/>
  <c r="AO7" i="8"/>
  <c r="AO27" i="8"/>
  <c r="AO13" i="8"/>
  <c r="AO33" i="8"/>
  <c r="AH28" i="8"/>
  <c r="AH8" i="8"/>
  <c r="AH30" i="8"/>
  <c r="AH10" i="8"/>
  <c r="AH15" i="8"/>
  <c r="AH35" i="8"/>
  <c r="AH34" i="8"/>
  <c r="AH14" i="8"/>
  <c r="AH20" i="8"/>
  <c r="AH40" i="8"/>
  <c r="AH37" i="8"/>
  <c r="AH17" i="8"/>
  <c r="AH29" i="8"/>
  <c r="AH9" i="8"/>
  <c r="AH33" i="8"/>
  <c r="AH13" i="8"/>
  <c r="AH27" i="8"/>
  <c r="AH7" i="8"/>
  <c r="AH32" i="8"/>
  <c r="AH12" i="8"/>
  <c r="AH31" i="8"/>
  <c r="AH11" i="8"/>
  <c r="AH41" i="8"/>
  <c r="AH21" i="8"/>
  <c r="F12" i="1"/>
  <c r="E12" i="1"/>
  <c r="D12" i="1"/>
  <c r="D10" i="1"/>
  <c r="E10" i="1"/>
  <c r="F10" i="1"/>
  <c r="C10" i="1"/>
  <c r="D9" i="1"/>
  <c r="E9" i="1"/>
  <c r="F9" i="1"/>
  <c r="C9" i="1"/>
  <c r="D8" i="1"/>
  <c r="E8" i="1"/>
  <c r="F8" i="1"/>
  <c r="C8" i="1"/>
  <c r="D7" i="1"/>
  <c r="E7" i="1"/>
  <c r="F7" i="1"/>
  <c r="C7" i="1"/>
  <c r="E6" i="1"/>
  <c r="F6" i="1"/>
  <c r="C6" i="1"/>
  <c r="S45" i="8"/>
  <c r="S46" i="8"/>
  <c r="S47" i="8"/>
  <c r="S44" i="8"/>
  <c r="R7" i="8"/>
  <c r="R8" i="8"/>
  <c r="R10" i="8"/>
  <c r="R11" i="8"/>
  <c r="R12" i="8"/>
  <c r="T13" i="8"/>
  <c r="R14" i="8"/>
  <c r="R15" i="8"/>
  <c r="R17" i="8"/>
  <c r="R20" i="8"/>
  <c r="T21" i="8"/>
  <c r="P6" i="8"/>
  <c r="R6" i="8" s="1"/>
  <c r="Z45" i="8"/>
  <c r="Z46" i="8"/>
  <c r="Z47" i="8"/>
  <c r="Z44" i="8"/>
  <c r="Y29" i="8"/>
  <c r="Y30" i="8"/>
  <c r="Y34" i="8"/>
  <c r="Y35" i="8"/>
  <c r="W26" i="8"/>
  <c r="Y26" i="8" s="1"/>
  <c r="Y7" i="8"/>
  <c r="Y9" i="8"/>
  <c r="Y11" i="8"/>
  <c r="AA14" i="8"/>
  <c r="AA15" i="8"/>
  <c r="Y20" i="8"/>
  <c r="W6" i="8"/>
  <c r="V26" i="8"/>
  <c r="V6" i="8"/>
  <c r="O6" i="8"/>
  <c r="O27" i="8"/>
  <c r="O29" i="8"/>
  <c r="O30" i="8"/>
  <c r="O31" i="8"/>
  <c r="O32" i="8"/>
  <c r="O34" i="8"/>
  <c r="O35" i="8"/>
  <c r="O37" i="8"/>
  <c r="O26" i="8"/>
  <c r="H26" i="8"/>
  <c r="H6" i="8"/>
  <c r="L45" i="8"/>
  <c r="L46" i="8"/>
  <c r="L47" i="8"/>
  <c r="L44" i="8"/>
  <c r="M28" i="8"/>
  <c r="M29" i="8"/>
  <c r="M30" i="8"/>
  <c r="M31" i="8"/>
  <c r="M32" i="8"/>
  <c r="M33" i="8"/>
  <c r="M37" i="8"/>
  <c r="M40" i="8"/>
  <c r="M41" i="8"/>
  <c r="I26" i="8"/>
  <c r="K26" i="8" s="1"/>
  <c r="K7" i="8"/>
  <c r="K8" i="8"/>
  <c r="K9" i="8"/>
  <c r="K10" i="8"/>
  <c r="K11" i="8"/>
  <c r="K12" i="8"/>
  <c r="K14" i="8"/>
  <c r="K15" i="8"/>
  <c r="K17" i="8"/>
  <c r="K20" i="8"/>
  <c r="K21" i="8"/>
  <c r="I6" i="8"/>
  <c r="K6" i="8" s="1"/>
  <c r="D79" i="6"/>
  <c r="E79" i="6"/>
  <c r="F79" i="6"/>
  <c r="D67" i="6"/>
  <c r="E67" i="6"/>
  <c r="F67" i="6"/>
  <c r="D47" i="6"/>
  <c r="F47" i="6"/>
  <c r="E17" i="5"/>
  <c r="F17" i="5"/>
  <c r="E18" i="6"/>
  <c r="G57" i="1" s="1"/>
  <c r="D17" i="5"/>
  <c r="D11" i="5"/>
  <c r="D3" i="1" s="1"/>
  <c r="D18" i="6"/>
  <c r="F57" i="1" s="1"/>
  <c r="D29" i="6"/>
  <c r="D49" i="6" s="1"/>
  <c r="D73" i="6" s="1"/>
  <c r="E29" i="6"/>
  <c r="E49" i="6" s="1"/>
  <c r="E73" i="6" s="1"/>
  <c r="F29" i="6"/>
  <c r="F49" i="6" s="1"/>
  <c r="F73" i="6" s="1"/>
  <c r="C29" i="6"/>
  <c r="C49" i="6" s="1"/>
  <c r="C73" i="6" s="1"/>
  <c r="B27" i="3"/>
  <c r="B28" i="3"/>
  <c r="B26" i="3"/>
  <c r="C11" i="5"/>
  <c r="C3" i="1" s="1"/>
  <c r="E45" i="8"/>
  <c r="E46" i="8"/>
  <c r="E47" i="8"/>
  <c r="E44" i="8"/>
  <c r="D27" i="8"/>
  <c r="D28" i="8"/>
  <c r="D29" i="8"/>
  <c r="D30" i="8"/>
  <c r="D31" i="8"/>
  <c r="D32" i="8"/>
  <c r="D34" i="8"/>
  <c r="D35" i="8"/>
  <c r="D37" i="8"/>
  <c r="D40" i="8"/>
  <c r="D41" i="8"/>
  <c r="B26" i="8"/>
  <c r="D26" i="8" s="1"/>
  <c r="O33" i="8"/>
  <c r="E11" i="1" l="1"/>
  <c r="Y13" i="8"/>
  <c r="AA13" i="8"/>
  <c r="AO22" i="8"/>
  <c r="AO23" i="8" s="1"/>
  <c r="AO44" i="8" s="1"/>
  <c r="H68" i="6" s="1"/>
  <c r="AO42" i="8"/>
  <c r="AO43" i="8" s="1"/>
  <c r="AO45" i="8" s="1"/>
  <c r="H69" i="6" s="1"/>
  <c r="AH69" i="8"/>
  <c r="AF70" i="8" s="1"/>
  <c r="E43" i="3" s="1"/>
  <c r="AA69" i="8"/>
  <c r="Y70" i="8" s="1"/>
  <c r="AH46" i="8" s="1"/>
  <c r="G70" i="6" s="1"/>
  <c r="T69" i="8"/>
  <c r="R70" i="8" s="1"/>
  <c r="AH22" i="8"/>
  <c r="AH23" i="8" s="1"/>
  <c r="AH44" i="8" s="1"/>
  <c r="G68" i="6" s="1"/>
  <c r="AH42" i="8"/>
  <c r="AH43" i="8" s="1"/>
  <c r="AH45" i="8" s="1"/>
  <c r="G69" i="6" s="1"/>
  <c r="AA21" i="8"/>
  <c r="Y21" i="8"/>
  <c r="Y14" i="8"/>
  <c r="K13" i="8"/>
  <c r="K22" i="8" s="1"/>
  <c r="M13" i="8"/>
  <c r="AA17" i="8"/>
  <c r="Y17" i="8"/>
  <c r="Y15" i="8"/>
  <c r="AA41" i="8"/>
  <c r="Y41" i="8"/>
  <c r="AA12" i="8"/>
  <c r="Y12" i="8"/>
  <c r="AA8" i="8"/>
  <c r="Y8" i="8"/>
  <c r="F11" i="1"/>
  <c r="I30" i="5"/>
  <c r="I29" i="5"/>
  <c r="C12" i="1"/>
  <c r="F18" i="5"/>
  <c r="E18" i="5"/>
  <c r="AA10" i="8"/>
  <c r="Y10" i="8"/>
  <c r="AA6" i="8"/>
  <c r="Y6" i="8"/>
  <c r="T12" i="8"/>
  <c r="AA40" i="8"/>
  <c r="Y40" i="8"/>
  <c r="AA37" i="8"/>
  <c r="Y37" i="8"/>
  <c r="AA35" i="8"/>
  <c r="AA33" i="8"/>
  <c r="Y33" i="8"/>
  <c r="AA32" i="8"/>
  <c r="Y32" i="8"/>
  <c r="AA31" i="8"/>
  <c r="Y31" i="8"/>
  <c r="AA28" i="8"/>
  <c r="Y28" i="8"/>
  <c r="AA27" i="8"/>
  <c r="Y27" i="8"/>
  <c r="D18" i="5"/>
  <c r="M8" i="8"/>
  <c r="R29" i="8"/>
  <c r="R9" i="8"/>
  <c r="M15" i="8"/>
  <c r="M14" i="8"/>
  <c r="R21" i="8"/>
  <c r="M12" i="8"/>
  <c r="R13" i="8"/>
  <c r="M11" i="8"/>
  <c r="T10" i="8"/>
  <c r="M21" i="8"/>
  <c r="M10" i="8"/>
  <c r="F33" i="8"/>
  <c r="D33" i="8"/>
  <c r="D13" i="8"/>
  <c r="F13" i="8"/>
  <c r="T15" i="8"/>
  <c r="R35" i="8"/>
  <c r="T14" i="8"/>
  <c r="R34" i="8"/>
  <c r="I42" i="8"/>
  <c r="M6" i="8"/>
  <c r="I22" i="8"/>
  <c r="T6" i="8"/>
  <c r="P22" i="8"/>
  <c r="R32" i="8"/>
  <c r="T11" i="8"/>
  <c r="B42" i="8"/>
  <c r="W22" i="8"/>
  <c r="W42" i="8"/>
  <c r="R37" i="8"/>
  <c r="D6" i="1"/>
  <c r="AA7" i="8"/>
  <c r="T8" i="8"/>
  <c r="T17" i="8"/>
  <c r="AA30" i="8"/>
  <c r="AA26" i="8"/>
  <c r="AA11" i="8"/>
  <c r="M36" i="8"/>
  <c r="J16" i="5"/>
  <c r="M26" i="8"/>
  <c r="AA9" i="8"/>
  <c r="AA20" i="8"/>
  <c r="AA29" i="8"/>
  <c r="AA34" i="8"/>
  <c r="T7" i="8"/>
  <c r="T20" i="8"/>
  <c r="T9" i="8"/>
  <c r="M7" i="8"/>
  <c r="M9" i="8"/>
  <c r="M20" i="8"/>
  <c r="M34" i="8"/>
  <c r="M27" i="8"/>
  <c r="M17" i="8"/>
  <c r="I36" i="5" l="1"/>
  <c r="C26" i="1" s="1"/>
  <c r="G12" i="1"/>
  <c r="I35" i="5"/>
  <c r="C25" i="1" s="1"/>
  <c r="G8" i="1"/>
  <c r="C22" i="1" s="1"/>
  <c r="I32" i="5"/>
  <c r="G10" i="1"/>
  <c r="C23" i="1" s="1"/>
  <c r="I33" i="5"/>
  <c r="AH47" i="8"/>
  <c r="D43" i="3"/>
  <c r="AO46" i="8"/>
  <c r="H70" i="6" s="1"/>
  <c r="AO47" i="8"/>
  <c r="H71" i="6" s="1"/>
  <c r="T41" i="8"/>
  <c r="R41" i="8"/>
  <c r="G9" i="1"/>
  <c r="G7" i="1"/>
  <c r="C11" i="1"/>
  <c r="D11" i="1"/>
  <c r="T40" i="8"/>
  <c r="R40" i="8"/>
  <c r="T34" i="8"/>
  <c r="T33" i="8"/>
  <c r="R33" i="8"/>
  <c r="T31" i="8"/>
  <c r="R31" i="8"/>
  <c r="T30" i="8"/>
  <c r="R30" i="8"/>
  <c r="T29" i="8"/>
  <c r="T28" i="8"/>
  <c r="R28" i="8"/>
  <c r="T27" i="8"/>
  <c r="R27" i="8"/>
  <c r="T26" i="8"/>
  <c r="R26" i="8"/>
  <c r="P42" i="8"/>
  <c r="T32" i="8"/>
  <c r="T37" i="8"/>
  <c r="T35" i="8"/>
  <c r="G6" i="1"/>
  <c r="C21" i="1" s="1"/>
  <c r="AA22" i="8"/>
  <c r="R22" i="8"/>
  <c r="T22" i="8"/>
  <c r="K42" i="8"/>
  <c r="AA42" i="8"/>
  <c r="Y42" i="8"/>
  <c r="M42" i="8"/>
  <c r="M43" i="8" s="1"/>
  <c r="M22" i="8"/>
  <c r="M23" i="8" s="1"/>
  <c r="Y22" i="8"/>
  <c r="H72" i="6" l="1"/>
  <c r="Q28" i="5" s="1"/>
  <c r="AH48" i="8"/>
  <c r="G71" i="6"/>
  <c r="G72" i="6" s="1"/>
  <c r="P28" i="5" s="1"/>
  <c r="P37" i="5" s="1"/>
  <c r="Q27" i="5" s="1"/>
  <c r="G11" i="1"/>
  <c r="I34" i="5"/>
  <c r="C24" i="1" s="1"/>
  <c r="AO48" i="8"/>
  <c r="AA43" i="8"/>
  <c r="AA23" i="8"/>
  <c r="AA44" i="8" s="1"/>
  <c r="F68" i="6" s="1"/>
  <c r="T23" i="8"/>
  <c r="T44" i="8" s="1"/>
  <c r="E68" i="6" s="1"/>
  <c r="R42" i="8"/>
  <c r="T42" i="8"/>
  <c r="M45" i="8"/>
  <c r="D69" i="6" s="1"/>
  <c r="H18" i="5"/>
  <c r="C47" i="6"/>
  <c r="F27" i="8"/>
  <c r="F29" i="8"/>
  <c r="F32" i="8"/>
  <c r="F34" i="8"/>
  <c r="F35" i="8"/>
  <c r="F37" i="8"/>
  <c r="F41" i="8"/>
  <c r="F26" i="8"/>
  <c r="H28" i="5" l="1"/>
  <c r="M28" i="5" s="1"/>
  <c r="M33" i="5"/>
  <c r="M34" i="5"/>
  <c r="M35" i="5"/>
  <c r="M36" i="5"/>
  <c r="M27" i="5"/>
  <c r="M31" i="5"/>
  <c r="M29" i="5"/>
  <c r="M30" i="5"/>
  <c r="M32" i="5"/>
  <c r="C5" i="11"/>
  <c r="D5" i="11"/>
  <c r="F69" i="3"/>
  <c r="E27" i="5" s="1"/>
  <c r="F68" i="3"/>
  <c r="D27" i="5" s="1"/>
  <c r="F67" i="3"/>
  <c r="F70" i="3"/>
  <c r="F27" i="5" s="1"/>
  <c r="T43" i="8"/>
  <c r="T45" i="8" s="1"/>
  <c r="F9" i="8"/>
  <c r="D9" i="8"/>
  <c r="O28" i="8"/>
  <c r="O40" i="8"/>
  <c r="O41" i="8"/>
  <c r="C55" i="3"/>
  <c r="F30" i="8"/>
  <c r="F28" i="8"/>
  <c r="F40" i="8"/>
  <c r="F31" i="8"/>
  <c r="H38" i="5" l="1"/>
  <c r="H5" i="1"/>
  <c r="M38" i="5"/>
  <c r="T48" i="8"/>
  <c r="E40" i="5" s="1"/>
  <c r="E69" i="6"/>
  <c r="E72" i="6" s="1"/>
  <c r="F42" i="8"/>
  <c r="F43" i="8" s="1"/>
  <c r="D42" i="8"/>
  <c r="E28" i="5" l="1"/>
  <c r="E38" i="5" s="1"/>
  <c r="D4" i="1"/>
  <c r="E4" i="1"/>
  <c r="F4" i="1"/>
  <c r="E37" i="5" l="1"/>
  <c r="E39" i="5" s="1"/>
  <c r="E26" i="6" s="1"/>
  <c r="E5" i="1"/>
  <c r="H4" i="1"/>
  <c r="D8" i="8"/>
  <c r="E14" i="1" l="1"/>
  <c r="M37" i="5"/>
  <c r="H37" i="5"/>
  <c r="H39" i="5" s="1"/>
  <c r="H15" i="1" s="1"/>
  <c r="F8" i="8"/>
  <c r="E16" i="1" l="1"/>
  <c r="E15" i="1"/>
  <c r="H14" i="1"/>
  <c r="H16" i="1" s="1"/>
  <c r="C17" i="5"/>
  <c r="G17" i="5" s="1"/>
  <c r="C8" i="11" l="1"/>
  <c r="K36" i="5"/>
  <c r="K30" i="5"/>
  <c r="K32" i="5"/>
  <c r="K33" i="5"/>
  <c r="K35" i="5"/>
  <c r="K29" i="5"/>
  <c r="K34" i="5"/>
  <c r="D7" i="8"/>
  <c r="D10" i="8"/>
  <c r="D11" i="8"/>
  <c r="D12" i="8"/>
  <c r="D14" i="8"/>
  <c r="D15" i="8"/>
  <c r="D17" i="8"/>
  <c r="D21" i="8"/>
  <c r="D6" i="8"/>
  <c r="C15" i="11" l="1"/>
  <c r="Q37" i="5"/>
  <c r="C27" i="5" s="1"/>
  <c r="G26" i="6"/>
  <c r="B22" i="8"/>
  <c r="F10" i="8"/>
  <c r="F6" i="8"/>
  <c r="F21" i="8"/>
  <c r="F20" i="8"/>
  <c r="F17" i="8"/>
  <c r="F14" i="8"/>
  <c r="F12" i="8"/>
  <c r="F11" i="8"/>
  <c r="F7" i="8"/>
  <c r="F15" i="8"/>
  <c r="G27" i="5" l="1"/>
  <c r="C20" i="1" s="1"/>
  <c r="C4" i="1"/>
  <c r="D4" i="11"/>
  <c r="D22" i="8"/>
  <c r="F22" i="8"/>
  <c r="C18" i="6"/>
  <c r="G4" i="1" l="1"/>
  <c r="I27" i="5"/>
  <c r="K27" i="5"/>
  <c r="D15" i="11"/>
  <c r="H26" i="6"/>
  <c r="C18" i="5"/>
  <c r="E57" i="1"/>
  <c r="F23" i="8"/>
  <c r="F44" i="8" l="1"/>
  <c r="C68" i="6" s="1"/>
  <c r="G18" i="5"/>
  <c r="L36" i="5" s="1"/>
  <c r="N36" i="5" s="1"/>
  <c r="M44" i="8"/>
  <c r="M48" i="8" l="1"/>
  <c r="D40" i="5" s="1"/>
  <c r="D68" i="6"/>
  <c r="D72" i="6" s="1"/>
  <c r="L32" i="5"/>
  <c r="N32" i="5" s="1"/>
  <c r="L29" i="5"/>
  <c r="N29" i="5" s="1"/>
  <c r="L34" i="5"/>
  <c r="N34" i="5" s="1"/>
  <c r="L35" i="5"/>
  <c r="N35" i="5" s="1"/>
  <c r="J18" i="5"/>
  <c r="J19" i="5" s="1"/>
  <c r="J36" i="5" s="1"/>
  <c r="L33" i="5"/>
  <c r="N33" i="5" s="1"/>
  <c r="L30" i="5"/>
  <c r="N30" i="5" s="1"/>
  <c r="L27" i="5"/>
  <c r="N27" i="5" s="1"/>
  <c r="F45" i="8"/>
  <c r="D28" i="5" l="1"/>
  <c r="D38" i="5" s="1"/>
  <c r="F48" i="8"/>
  <c r="C69" i="6"/>
  <c r="C72" i="6" s="1"/>
  <c r="C28" i="5" s="1"/>
  <c r="J32" i="5"/>
  <c r="J30" i="5"/>
  <c r="J34" i="5"/>
  <c r="J29" i="5"/>
  <c r="J33" i="5"/>
  <c r="J35" i="5"/>
  <c r="D37" i="5" l="1"/>
  <c r="D14" i="1" s="1"/>
  <c r="D5" i="1"/>
  <c r="C40" i="5"/>
  <c r="C38" i="5"/>
  <c r="AA45" i="8"/>
  <c r="D15" i="1" l="1"/>
  <c r="D16" i="1"/>
  <c r="D39" i="5"/>
  <c r="D26" i="6" s="1"/>
  <c r="AA48" i="8"/>
  <c r="F69" i="6"/>
  <c r="F72" i="6" s="1"/>
  <c r="F28" i="5" s="1"/>
  <c r="C5" i="1"/>
  <c r="C37" i="5"/>
  <c r="C14" i="1" s="1"/>
  <c r="F40" i="5"/>
  <c r="G40" i="5" s="1"/>
  <c r="I40" i="5" s="1"/>
  <c r="C28" i="1" s="1"/>
  <c r="C16" i="1" l="1"/>
  <c r="C15" i="1"/>
  <c r="C39" i="5"/>
  <c r="C26" i="6" s="1"/>
  <c r="G28" i="5"/>
  <c r="F38" i="5"/>
  <c r="F37" i="5"/>
  <c r="F14" i="1" s="1"/>
  <c r="F5" i="1"/>
  <c r="G38" i="5" l="1"/>
  <c r="F16" i="1"/>
  <c r="F15" i="1"/>
  <c r="F39" i="5"/>
  <c r="F26" i="6" s="1"/>
  <c r="J28" i="5"/>
  <c r="J37" i="5" s="1"/>
  <c r="K28" i="5"/>
  <c r="K38" i="5" s="1"/>
  <c r="G37" i="5"/>
  <c r="O36" i="5" s="1"/>
  <c r="G5" i="1"/>
  <c r="I28" i="5"/>
  <c r="L28" i="5"/>
  <c r="L38" i="5" s="1"/>
  <c r="AA31" i="1" l="1"/>
  <c r="K37" i="5"/>
  <c r="G16" i="1" s="1"/>
  <c r="I38" i="5"/>
  <c r="O27" i="5"/>
  <c r="O32" i="5"/>
  <c r="G14" i="1"/>
  <c r="C27" i="1" s="1"/>
  <c r="O29" i="5"/>
  <c r="O30" i="5"/>
  <c r="O34" i="5"/>
  <c r="O28" i="5"/>
  <c r="G39" i="5"/>
  <c r="O35" i="5"/>
  <c r="O33" i="5"/>
  <c r="L37" i="5"/>
  <c r="G15" i="1" s="1"/>
  <c r="J38" i="5"/>
  <c r="I37" i="5"/>
  <c r="I39" i="5" s="1"/>
  <c r="N28" i="5"/>
  <c r="N38" i="5" s="1"/>
  <c r="N37" i="5" l="1"/>
  <c r="O3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tc={12BBA11E-0F59-4A76-8EE9-C6CE2485781E}</author>
    <author>tc={66E907EE-B1FA-4B3F-9E63-BD73367BD814}</author>
    <author>tc={2C6022D9-C51D-4EBF-A889-7C727FEC5318}</author>
    <author>tc={E5881424-D2D9-4DB1-BBAE-D85DA18EE780}</author>
    <author>tc={AC549C06-64AB-42DA-9C5E-607B989CF0DB}</author>
    <author>tc={D94F0A93-89AE-4278-BA03-1421A54DB6DC}</author>
    <author>tc={DA7F522A-C0D2-4F34-ADF4-CC3F9CB0C961}</author>
    <author>tc={7BB0151E-14A0-45F4-AB07-615A807FC02B}</author>
    <author>tc={BB5F333B-19CE-4778-965C-20937284521E}</author>
    <author>tc={1445571A-0AC7-415F-A72D-EB4218589ABD}</author>
    <author>tc={0791AF9F-2750-4CFD-8C15-7D4036C7CEEC}</author>
    <author>tc={65EAB35F-FB35-403E-8E99-16226E671628}</author>
  </authors>
  <commentList>
    <comment ref="B12" authorId="0" shapeId="0" xr:uid="{12BBA11E-0F59-4A76-8EE9-C6CE2485781E}">
      <text>
        <t>[Trådet kommentar]
Din version af Excel lader dig læse denne trådede kommentar. Eventuelle ændringer vil dog blive fjernet, hvis filen åbnes i en nyere version af Excel. Få mere at vide: https://go.microsoft.com/fwlink/?linkid=870924
Kommentar:
    Der skrives 1 udfor de lokaliteter du ønsker at få med i beregningerne. Hvis du skriver 0 kommer lokaliteten ikke med i beregningerne.</t>
      </text>
    </comment>
    <comment ref="C15" authorId="1" shapeId="0" xr:uid="{66E907EE-B1FA-4B3F-9E63-BD73367BD814}">
      <text>
        <t>[Trådet kommentar]
Din version af Excel lader dig læse denne trådede kommentar. Eventuelle ændringer vil dog blive fjernet, hvis filen åbnes i en nyere version af Excel. Få mere at vide: https://go.microsoft.com/fwlink/?linkid=870924
Kommentar:
    Tallene anvendes til at lave et vægtet gennemsnit af dine lokaliteter</t>
      </text>
    </comment>
    <comment ref="B21" authorId="2" shapeId="0" xr:uid="{2C6022D9-C51D-4EBF-A889-7C727FEC5318}">
      <text>
        <t>[Trådet kommentar]
Din version af Excel lader dig læse denne trådede kommentar. Eventuelle ændringer vil dog blive fjernet, hvis filen åbnes i en nyere version af Excel. Få mere at vide: https://go.microsoft.com/fwlink/?linkid=870924
Kommentar:
    Der anvendes måske forskellige energiformer. Her kan kun angives alt energi omregnet til kwh. per gris/so</t>
      </text>
    </comment>
    <comment ref="B23" authorId="3" shapeId="0" xr:uid="{E5881424-D2D9-4DB1-BBAE-D85DA18EE780}">
      <text>
        <t>[Trådet kommentar]
Din version af Excel lader dig læse denne trådede kommentar. Eventuelle ændringer vil dog blive fjernet, hvis filen åbnes i en nyere version af Excel. Få mere at vide: https://go.microsoft.com/fwlink/?linkid=870924
Kommentar:
    Vælg teknologi fra listen</t>
      </text>
    </comment>
    <comment ref="B24" authorId="4" shapeId="0" xr:uid="{AC549C06-64AB-42DA-9C5E-607B989CF0DB}">
      <text>
        <t>[Trådet kommentar]
Din version af Excel lader dig læse denne trådede kommentar. Eventuelle ændringer vil dog blive fjernet, hvis filen åbnes i en nyere version af Excel. Få mere at vide: https://go.microsoft.com/fwlink/?linkid=870924
Kommentar:
    Vælg håndtering af gyllen fra listen</t>
      </text>
    </comment>
    <comment ref="B25" authorId="5" shapeId="0" xr:uid="{D94F0A93-89AE-4278-BA03-1421A54DB6DC}">
      <text>
        <t>[Trådet kommentar]
Din version af Excel lader dig læse denne trådede kommentar. Eventuelle ændringer vil dog blive fjernet, hvis filen åbnes i en nyere version af Excel. Få mere at vide: https://go.microsoft.com/fwlink/?linkid=870924
Kommentar:
    Det er ikke helt klart om biogasanlæggets gasproduktion kan medregnes i grisens klimaaftryk</t>
      </text>
    </comment>
    <comment ref="B27" authorId="6" shapeId="0" xr:uid="{DA7F522A-C0D2-4F34-ADF4-CC3F9CB0C961}">
      <text>
        <t>[Trådet kommentar]
Din version af Excel lader dig læse denne trådede kommentar. Eventuelle ændringer vil dog blive fjernet, hvis filen åbnes i en nyere version af Excel. Få mere at vide: https://go.microsoft.com/fwlink/?linkid=870924
Kommentar:
    Hvis du ønsker at lave scenarier så skriv klimatalene under scenarier inden du begynder at ændre på forudsætningerne</t>
      </text>
    </comment>
    <comment ref="B47" authorId="7" shapeId="0" xr:uid="{7BB0151E-14A0-45F4-AB07-615A807FC02B}">
      <text>
        <t>[Trådet kommentar]
Din version af Excel lader dig læse denne trådede kommentar. Eventuelle ændringer vil dog blive fjernet, hvis filen åbnes i en nyere version af Excel. Få mere at vide: https://go.microsoft.com/fwlink/?linkid=870924
Kommentar:
    Summen skal være 100%</t>
      </text>
    </comment>
    <comment ref="B68" authorId="8" shapeId="0" xr:uid="{BB5F333B-19CE-4778-965C-20937284521E}">
      <text>
        <t>[Trådet kommentar]
Din version af Excel lader dig læse denne trådede kommentar. Eventuelle ændringer vil dog blive fjernet, hvis filen åbnes i en nyere version af Excel. Få mere at vide: https://go.microsoft.com/fwlink/?linkid=870924
Kommentar:
    Hvis foderleverandøren har angivet CO2e  per foderenhed på indlægsedlen så kan tallet overskrives med foderstoffirmaets tal.
Hvis tallet overskrives kan der ikke længere beregnes et klimaaftryk. Så hvis der igen ønskes en beregning af klimapå fodret skal der anvendes et nyt regneark.</t>
      </text>
    </comment>
    <comment ref="B77" authorId="9" shapeId="0" xr:uid="{1445571A-0AC7-415F-A72D-EB4218589ABD}">
      <text>
        <t>[Trådet kommentar]
Din version af Excel lader dig læse denne trådede kommentar. Eventuelle ændringer vil dog blive fjernet, hvis filen åbnes i en nyere version af Excel. Få mere at vide: https://go.microsoft.com/fwlink/?linkid=870924
Kommentar:
    Du kan se sammensætningen i arket 'Foder-klima', celler A75:F93</t>
      </text>
    </comment>
    <comment ref="B78" authorId="10" shapeId="0" xr:uid="{0791AF9F-2750-4CFD-8C15-7D4036C7CEEC}">
      <text>
        <t>[Trådet kommentar]
Din version af Excel lader dig læse denne trådede kommentar. Eventuelle ændringer vil dog blive fjernet, hvis filen åbnes i en nyere version af Excel. Få mere at vide: https://go.microsoft.com/fwlink/?linkid=870924
Kommentar:
    Du kan se sammensætningen i arket 'Foder-klima', celler A75:F93</t>
      </text>
    </comment>
    <comment ref="B79" authorId="11" shapeId="0" xr:uid="{65EAB35F-FB35-403E-8E99-16226E671628}">
      <text>
        <t>[Trådet kommentar]
Din version af Excel lader dig læse denne trådede kommentar. Eventuelle ændringer vil dog blive fjernet, hvis filen åbnes i en nyere version af Excel. Få mere at vide: https://go.microsoft.com/fwlink/?linkid=870924
Kommentar:
    Summen skal være 100%</t>
      </text>
    </comment>
  </commentList>
</comments>
</file>

<file path=xl/sharedStrings.xml><?xml version="1.0" encoding="utf-8"?>
<sst xmlns="http://schemas.openxmlformats.org/spreadsheetml/2006/main" count="488" uniqueCount="268">
  <si>
    <t>Total</t>
  </si>
  <si>
    <t>Miljøteknologi</t>
  </si>
  <si>
    <t>% of total kg</t>
  </si>
  <si>
    <t>SOJASKRÅFODER,  afskallet toastet</t>
  </si>
  <si>
    <t>RAPSSKRÅFODER,  lavt glukosinolatindhold</t>
  </si>
  <si>
    <t>SOLSIKKESKRÅFODER,  afskallet</t>
  </si>
  <si>
    <t>HVEDEKLID</t>
  </si>
  <si>
    <t>VEGETABILSK OLIE OG FEDTSTOF, Palme</t>
  </si>
  <si>
    <t>SUKKERROEMELASSE</t>
  </si>
  <si>
    <t>Foderkomponenter</t>
  </si>
  <si>
    <t>Kg</t>
  </si>
  <si>
    <t>Besætning CHR nr.</t>
  </si>
  <si>
    <t>Energi</t>
  </si>
  <si>
    <t>Fodersammensætning</t>
  </si>
  <si>
    <t>Mineralsk foderblanding</t>
  </si>
  <si>
    <t>Andet</t>
  </si>
  <si>
    <t>Rug/tritikale</t>
  </si>
  <si>
    <t>FEsv per kg</t>
  </si>
  <si>
    <t>FEsv per kg foderblanding</t>
  </si>
  <si>
    <t>Valle, gns af alle valletyper</t>
  </si>
  <si>
    <t>Den beregnede blanding 1. GWP værdi per FEsv</t>
  </si>
  <si>
    <t>Den beregnede blanding 2. GWP værdi per FEsv</t>
  </si>
  <si>
    <t>Korrektionstabel til smågrise</t>
  </si>
  <si>
    <t>Basis GWP værdier med 2018 landgennemsnitstal og ndret standarfoderblanding er:</t>
  </si>
  <si>
    <t>6,6 kg fravænnet gris</t>
  </si>
  <si>
    <t>30 kg smågris</t>
  </si>
  <si>
    <t xml:space="preserve">Samlet GWP </t>
  </si>
  <si>
    <t xml:space="preserve">For at undgå uhensigtsmæssige hop i korrektionerne anvendes der interpolation i intervaller </t>
  </si>
  <si>
    <t>Korrektionerne er tilrettet så det samlede GWP ikke ændres på hele grisen</t>
  </si>
  <si>
    <t>Korrektionstabel</t>
  </si>
  <si>
    <t>Smågrisenes vægt ved indsættelse</t>
  </si>
  <si>
    <t>GWP/ kg</t>
  </si>
  <si>
    <t>Korrektionsfaktor 6.6 kg til 30 kg</t>
  </si>
  <si>
    <t>Korrektionsfaktor 30 kg til 40 kg</t>
  </si>
  <si>
    <t>Korrektionsformel</t>
  </si>
  <si>
    <t>GWP/smågris</t>
  </si>
  <si>
    <t>Indsættelsesvægt, kg</t>
  </si>
  <si>
    <t>Levendevægt, kg</t>
  </si>
  <si>
    <t>GHG beregninger</t>
  </si>
  <si>
    <t>Foder</t>
  </si>
  <si>
    <t xml:space="preserve">Fordøjelse </t>
  </si>
  <si>
    <t>Forsuring af gyllen</t>
  </si>
  <si>
    <t>30-115,3 kg slagtesvin</t>
  </si>
  <si>
    <t>Når grisene er under 30 kg reguleres der på smågrisefoder</t>
  </si>
  <si>
    <t>Når grisene er over 30 kg reguleres der på slagtesvinefoder</t>
  </si>
  <si>
    <t>Til beregningerne er der anvendt Landsgennemsnitstal for 2019</t>
  </si>
  <si>
    <t>Hestebønner</t>
  </si>
  <si>
    <t>Emissioner</t>
  </si>
  <si>
    <t>Strøelse + diverse</t>
  </si>
  <si>
    <t>GHG per kg strøelse ved afvigelse</t>
  </si>
  <si>
    <t xml:space="preserve">Hyppig udslusning </t>
  </si>
  <si>
    <t xml:space="preserve">Gyllekøling </t>
  </si>
  <si>
    <t>Ingen miljøteknologi</t>
  </si>
  <si>
    <t>Indtastet foderblanding 1</t>
  </si>
  <si>
    <t>Indtastet foderblanding 2</t>
  </si>
  <si>
    <t>Hjemmeblandet standardblanding,%</t>
  </si>
  <si>
    <t>Indkøbt standardblanding,%</t>
  </si>
  <si>
    <t>Indtastet foderblanding 1, %</t>
  </si>
  <si>
    <t xml:space="preserve">I alt 100% </t>
  </si>
  <si>
    <t>CHR nr.</t>
  </si>
  <si>
    <t>100% Kemisk /biologisk</t>
  </si>
  <si>
    <t>20% kemisk/biologisk</t>
  </si>
  <si>
    <t>20% luftrens+Gyllekøling</t>
  </si>
  <si>
    <t>crr nr.</t>
  </si>
  <si>
    <t>Ingen management</t>
  </si>
  <si>
    <t>Indtastet foderblanding 2, %</t>
  </si>
  <si>
    <t>Fordeling af blandingerne, %</t>
  </si>
  <si>
    <t>Navn</t>
  </si>
  <si>
    <t>Adresse</t>
  </si>
  <si>
    <t>Gårdens navn</t>
  </si>
  <si>
    <t>Testvej 100</t>
  </si>
  <si>
    <t>By</t>
  </si>
  <si>
    <t>Testgården</t>
  </si>
  <si>
    <t>E-mail</t>
  </si>
  <si>
    <t>test@test.dk</t>
  </si>
  <si>
    <t>CHR nr. /Lokalitet</t>
  </si>
  <si>
    <t>Gyllekøling</t>
  </si>
  <si>
    <t>Hyppig udslusning</t>
  </si>
  <si>
    <t>Resultater for lokaliteterne</t>
  </si>
  <si>
    <t>Datagrundlag</t>
  </si>
  <si>
    <t>År</t>
  </si>
  <si>
    <t>Foderforbrug</t>
  </si>
  <si>
    <t>Sommertest</t>
  </si>
  <si>
    <t>Foderforbrug+/- 0,1 FEsv</t>
  </si>
  <si>
    <t>Forsuring af gyllen i stalden</t>
  </si>
  <si>
    <t>Strøelse +diverse NORM</t>
  </si>
  <si>
    <t>Fordøjelse,NORM</t>
  </si>
  <si>
    <t>Den beregnede blanding GWP værdi per FEsv</t>
  </si>
  <si>
    <t>GHG NORM foder per FEsv</t>
  </si>
  <si>
    <t>GHG NORM gris 30 kg til slagtning</t>
  </si>
  <si>
    <t>Standard tal er beregnet på basis af en PORK motor der har alle de nødvendige normtal for input og emissioner for at kunne beregne klimaaftryk (GHG) på et slagtesvin</t>
  </si>
  <si>
    <t>Normdata til beregning af et slagtesvins klimaaftryk</t>
  </si>
  <si>
    <t>NORM GHG værdi per slagtesvin</t>
  </si>
  <si>
    <t>TEST</t>
  </si>
  <si>
    <t>Strøelse , kg per gris</t>
  </si>
  <si>
    <t>NORM</t>
  </si>
  <si>
    <t>Afvigelse til NORM, slagtesvin</t>
  </si>
  <si>
    <t>luftrensning-20%</t>
  </si>
  <si>
    <t>luftrensning-100%</t>
  </si>
  <si>
    <t>Sofoder</t>
  </si>
  <si>
    <t>Slagtesvinefoder</t>
  </si>
  <si>
    <t>Smågrisefoder</t>
  </si>
  <si>
    <t>Hjemmeblandet</t>
  </si>
  <si>
    <t>Indkøbt</t>
  </si>
  <si>
    <t>Hjemme/Indkøbt</t>
  </si>
  <si>
    <t>FE pr kg</t>
  </si>
  <si>
    <t>Ford protein</t>
  </si>
  <si>
    <t>Ford lysin</t>
  </si>
  <si>
    <t>Smågrise</t>
  </si>
  <si>
    <t>NORM GHG værdi per smågris</t>
  </si>
  <si>
    <t>NORM GHG værdi per so/pattegris</t>
  </si>
  <si>
    <t>Ell omregnet til CO2e faktor</t>
  </si>
  <si>
    <t>Kg CO2e  per 1Kwh i afvigelse</t>
  </si>
  <si>
    <t>GHG per kg levende gris</t>
  </si>
  <si>
    <t>Slagtesvin</t>
  </si>
  <si>
    <t>Indsættelsesvægt/fravænningsvægt, kg</t>
  </si>
  <si>
    <t>Vægt ved slag/overførsel, kg</t>
  </si>
  <si>
    <t>Fodersammensætning-indtast eller vælg standardblanding</t>
  </si>
  <si>
    <t>SOJA/Raps olie</t>
  </si>
  <si>
    <t>Foderforbrug slagtesvin/smågris, Frav. Grise/årsso</t>
  </si>
  <si>
    <t>Normtal gyllemængder</t>
  </si>
  <si>
    <t>TS%</t>
  </si>
  <si>
    <t>søer</t>
  </si>
  <si>
    <t>smågrise</t>
  </si>
  <si>
    <t>slagtesvin</t>
  </si>
  <si>
    <t>C</t>
  </si>
  <si>
    <t>D</t>
  </si>
  <si>
    <t>E</t>
  </si>
  <si>
    <t>F</t>
  </si>
  <si>
    <t>G</t>
  </si>
  <si>
    <t>H</t>
  </si>
  <si>
    <t>Fiskemel</t>
  </si>
  <si>
    <t>Skummetmælkspulver</t>
  </si>
  <si>
    <t>Samlet resultat for slagtesvinelokaliteterne</t>
  </si>
  <si>
    <t>Slagtevægt/Afgangsvægt, kg/grise per årsso</t>
  </si>
  <si>
    <t>Stald og gylleopbevaring-Metan og lattergas</t>
  </si>
  <si>
    <t>Dødelighed/1. lægs pct.-NORM</t>
  </si>
  <si>
    <t>Dødelighed +/- 1 pct.point / +/- 1 pct.point 1. lægs søer</t>
  </si>
  <si>
    <t>Ændring i fravænnede grise per årsso +/-1</t>
  </si>
  <si>
    <t>Egne/indkøbte grise</t>
  </si>
  <si>
    <t>file:///C:/Users/fu/Downloads/Notat_2014.pdf</t>
  </si>
  <si>
    <t>6,6-30 kg smågris (23,4 kg tilvækst</t>
  </si>
  <si>
    <t>Dødeligheds pct./1. lægs pct</t>
  </si>
  <si>
    <t>Kolonne C</t>
  </si>
  <si>
    <t>Standard fravænningsvægt uden supplerende energi i farestalden, kg</t>
  </si>
  <si>
    <t>Energiforbrug NORM Kwh per gris</t>
  </si>
  <si>
    <t>Tillæg for polte</t>
  </si>
  <si>
    <t xml:space="preserve">Indkøbte </t>
  </si>
  <si>
    <t>Smågrise: Indkøbt=1 egne smågrise =2</t>
  </si>
  <si>
    <t>Sohold</t>
  </si>
  <si>
    <t>Total CO2 e per gris</t>
  </si>
  <si>
    <t>Antal søer/smågrise</t>
  </si>
  <si>
    <t>Smågrise vægt, kg</t>
  </si>
  <si>
    <t>1. lægs%/dødelighede %</t>
  </si>
  <si>
    <t>Antal leverede slagtesvin</t>
  </si>
  <si>
    <t>Slagtevægt, kg</t>
  </si>
  <si>
    <t>Dødelighed,%</t>
  </si>
  <si>
    <t>Biogas 1=ja</t>
  </si>
  <si>
    <t>Gennemsnit</t>
  </si>
  <si>
    <t>Biogas metan -emissioner</t>
  </si>
  <si>
    <t>Samlet afvigelse til NORN</t>
  </si>
  <si>
    <t>Fodrets CO2e klimaaftryk per FE</t>
  </si>
  <si>
    <t>Smågrisens vægt, kg</t>
  </si>
  <si>
    <t>Total inkl smågrisen</t>
  </si>
  <si>
    <t>Total uden smågrisen</t>
  </si>
  <si>
    <t>CO2e /svin</t>
  </si>
  <si>
    <t>CO2e /kg tilv.</t>
  </si>
  <si>
    <t>CO2e / kg slg.krop</t>
  </si>
  <si>
    <t>CO2e /kg leven.gris</t>
  </si>
  <si>
    <t>CO2e / frav. Gris</t>
  </si>
  <si>
    <t>CO2e / smg.</t>
  </si>
  <si>
    <t>Søer/frav. Grise</t>
  </si>
  <si>
    <t>Er denne lokalitet relevant for dig (ja=1 nej=0)?</t>
  </si>
  <si>
    <t>Beregning grisenes klimaaftryk</t>
  </si>
  <si>
    <t>Vægtet gennemsnit CO2e per slagtesvin</t>
  </si>
  <si>
    <t>NORM CO2e per slagtesvin</t>
  </si>
  <si>
    <t>CO2e per kg tilvækst, slagtesvin</t>
  </si>
  <si>
    <t>CO2e per kg slagtekrop</t>
  </si>
  <si>
    <t>CO2e Per kg levende gris</t>
  </si>
  <si>
    <t>NORM CO2e per kg levende gris</t>
  </si>
  <si>
    <t>Afvigelse til NORM, per kg levendevægt</t>
  </si>
  <si>
    <t>Fordeling af CO2e per kg levende gris</t>
  </si>
  <si>
    <t>Analyser af resultaterne på slagtesvin</t>
  </si>
  <si>
    <t>CO2e /kg lev. gris</t>
  </si>
  <si>
    <t>CO2e / kg lev. gris</t>
  </si>
  <si>
    <t xml:space="preserve">FoderCO2e beregninger </t>
  </si>
  <si>
    <t>CO2e per kg fodermiddel</t>
  </si>
  <si>
    <t>CO2e  per kg foderblanding</t>
  </si>
  <si>
    <t>CO2e per kgtørstof/ fodermiddel</t>
  </si>
  <si>
    <t>Den beregnede blanding 1. CO2e værdi per FEsv</t>
  </si>
  <si>
    <t>Standar hjemmeblanding CO2e værdi per FEsv</t>
  </si>
  <si>
    <t>Standar indkøbt foderblandings CO2e værdi per FEsv</t>
  </si>
  <si>
    <t>Den sammenvejde CO2e værdi for det anvendte foder per FEsv</t>
  </si>
  <si>
    <t>NORM hjemmeblanding CO2e værdi per FEsv</t>
  </si>
  <si>
    <t>Anvendte NORM indkøbt slagtesvinefoder</t>
  </si>
  <si>
    <t>Anvendt NORM hjemmeblandet slagtesvinefoder foder</t>
  </si>
  <si>
    <t>Anvendte NORM indkøbt sofoder</t>
  </si>
  <si>
    <t>Anvendte NORM hjemmeblandet sofoder</t>
  </si>
  <si>
    <t>Anvendte NORM smågriseblandinger</t>
  </si>
  <si>
    <t>NORM indkøbt slagtesvinefoder-blanding</t>
  </si>
  <si>
    <t>NORM hjemmeblandet slagtesvinefoder-blanding</t>
  </si>
  <si>
    <t>NORM indkøbt sofoder-blanding</t>
  </si>
  <si>
    <t>NORM hjemmeblandet sofoder-blanding</t>
  </si>
  <si>
    <t>NORM smågriseblandinger</t>
  </si>
  <si>
    <t>Biogas effekt-fortrængning af naturgas</t>
  </si>
  <si>
    <t xml:space="preserve">Postnr. </t>
  </si>
  <si>
    <t>Mobil nr.</t>
  </si>
  <si>
    <t>Energiforbrug, omregnet til El i KWh per gris</t>
  </si>
  <si>
    <t xml:space="preserve">Analyser af bedriftens CO2 ækvivalenter </t>
  </si>
  <si>
    <t>Foderets klimaaftryk  i forhold til NORN, kg CO2e per FE</t>
  </si>
  <si>
    <t>Foderforbrug per kg tilvækst</t>
  </si>
  <si>
    <t>Total CO2e per slagtesvin</t>
  </si>
  <si>
    <t>Total CO2e per kg levendevægt</t>
  </si>
  <si>
    <t>Total CO2e per kg slagtekrop</t>
  </si>
  <si>
    <t>Potentialer i virkemidler, kg CO2e./slagtesvin</t>
  </si>
  <si>
    <t>Slagtesvinets klimaaftryk</t>
  </si>
  <si>
    <t>Smågrisens klimaaftryk</t>
  </si>
  <si>
    <t>Fordeling af klimaaftryk per slagtesvin på lokaliteterne</t>
  </si>
  <si>
    <t>Standardværdi per sopolt, kg CO2e (22 uger)</t>
  </si>
  <si>
    <t>Der kan indtastes 1-2 foderrecepter pr. CHR nr.</t>
  </si>
  <si>
    <t xml:space="preserve">Der skal indtastes, hvor mange % hver blanding udgør af det samlede foderforbrug. Kontrollér, at det samlet giver 100%          ….....................................................................................................................................................................................................................................................................................                                                                                       </t>
  </si>
  <si>
    <t>Programmet kan håndtere 6 lokaliteter (4 med slagtesvin, 1 med søer og 1 med smågrise)</t>
  </si>
  <si>
    <t>Der kan også vælges NORM foderblandinger.</t>
  </si>
  <si>
    <t>Gule celler betyder, at du skal indtaste egne værdier</t>
  </si>
  <si>
    <t>Blå celler betyder, at du bør læse kommentaren</t>
  </si>
  <si>
    <t>Input produktionsomfang/-data pr. slagtesvin</t>
  </si>
  <si>
    <t>Dyregruppe</t>
  </si>
  <si>
    <t>Slagtevægt, kg/grise per årsso</t>
  </si>
  <si>
    <t>Slagtesvin/smågrise, FEsv per kg tilvækst,         Søer FEso per årsso inkl. poltefoder fra 22 uger</t>
  </si>
  <si>
    <t>Antal (leverede slagtegrise/årssøer/solgte/overførte smågrise), årlig</t>
  </si>
  <si>
    <t>Tilæg for supplerende energi per kg fravænningsvægt, kg CO2e</t>
  </si>
  <si>
    <t>Sohold/fra-vænnet gris, kg CO2e/gris</t>
  </si>
  <si>
    <t>Smågrise, kg CO2e /gris</t>
  </si>
  <si>
    <t>Nedenstående emissionskilder kræver dine data for at du kan få beregnet dit klimaaftryk på grisen</t>
  </si>
  <si>
    <t>Forskel CO2e /svin</t>
  </si>
  <si>
    <t>CO2e per kg lev. Gris</t>
  </si>
  <si>
    <t>Scenarie CO2e per kg lev. Gris</t>
  </si>
  <si>
    <t>Klima på grisen</t>
  </si>
  <si>
    <t>Hyppig gylleudslusning reducerer metan</t>
  </si>
  <si>
    <t>Smågris</t>
  </si>
  <si>
    <t>Miljøteknologi -der reducerer lattergas</t>
  </si>
  <si>
    <t>Hjemmebl.standard blanding, kg CO2e per foderenhed</t>
  </si>
  <si>
    <t>Indkøbt standarblanding, kg CO2e per fodeenhed</t>
  </si>
  <si>
    <t>Vægtet gennemsnit CO2e per foderenhed</t>
  </si>
  <si>
    <t>Kg CO2e per foderenhed blanding 1</t>
  </si>
  <si>
    <t>Kg CO2e per foderenhed blanding 2</t>
  </si>
  <si>
    <t xml:space="preserve"> Klima på grisen</t>
  </si>
  <si>
    <t>Korrigeret for allokering til slagtesøer ca 5% af det totale CO2e aftryk</t>
  </si>
  <si>
    <t>Hyppig udslusning til biogas</t>
  </si>
  <si>
    <t>HVEDE</t>
  </si>
  <si>
    <t>https://pure.au.dk/portal/files/194923543/Tilf_jelse_til_Opdatering_af_klimatabel_18082020_rev_ver.pdf</t>
  </si>
  <si>
    <t>Management-Biogas</t>
  </si>
  <si>
    <t>Gylle til biogas-lagereffekt</t>
  </si>
  <si>
    <t>Biogas-normal udslusning</t>
  </si>
  <si>
    <t>Biogas effekt-hyppig udslusning</t>
  </si>
  <si>
    <t>Biogas hyppig udslusning</t>
  </si>
  <si>
    <t>Biogas-hyppig udslusning</t>
  </si>
  <si>
    <t>Biogas fortrængningseffekt</t>
  </si>
  <si>
    <t>Uden biogas fortrængning</t>
  </si>
  <si>
    <t>BYG,  vår/vinter</t>
  </si>
  <si>
    <t>Dødelighed</t>
  </si>
  <si>
    <t>GWP per +/-0,1 FEsv/100 Feso (metaneffekt)</t>
  </si>
  <si>
    <t>Fodrets klimaaftryk, +/-</t>
  </si>
  <si>
    <t>Stald og gylleopbevaring (gødninmgsproduktion)</t>
  </si>
  <si>
    <t>GWP per +/-0,1 FEsv/100 Feso (forbrugeffekt)</t>
  </si>
  <si>
    <t>Foderforbrug inkl. fodrets klimaeffekt</t>
  </si>
  <si>
    <t>Hyppig udslusning-gylle til biogas</t>
  </si>
  <si>
    <t>Gylle håndtering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</si>
</sst>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00"/>
  </numFmts>
  <fonts count="36" x14ac:knownFonts="1">
    <font>
      <sz val="12"/>
      <color theme="1"/>
      <name val="Calibri"/>
      <family val="2"/>
      <scheme val="minor"/>
    </font>
    <font>
      <b/>
      <sz val="12"/>
      <color theme="1"/>
      <name val="Calibri"/>
      <family val="2"/>
      <scheme val="minor"/>
    </font>
    <font>
      <u/>
      <sz val="12"/>
      <color theme="1"/>
      <name val="Calibri"/>
      <family val="2"/>
      <scheme val="minor"/>
    </font>
    <font>
      <sz val="12"/>
      <color theme="1"/>
      <name val="Calibri"/>
      <family val="2"/>
      <scheme val="minor"/>
    </font>
    <font>
      <b/>
      <sz val="14"/>
      <color theme="1"/>
      <name val="Calibri"/>
      <family val="2"/>
      <scheme val="minor"/>
    </font>
    <font>
      <b/>
      <sz val="9"/>
      <color theme="1"/>
      <name val="Arial"/>
      <family val="2"/>
    </font>
    <font>
      <sz val="12"/>
      <color rgb="FFFF0000"/>
      <name val="Calibri"/>
      <family val="2"/>
      <scheme val="minor"/>
    </font>
    <font>
      <u/>
      <sz val="12"/>
      <color theme="10"/>
      <name val="Calibri"/>
      <family val="2"/>
      <scheme val="minor"/>
    </font>
    <font>
      <b/>
      <sz val="20"/>
      <color theme="1"/>
      <name val="Calibri"/>
      <family val="2"/>
      <scheme val="minor"/>
    </font>
    <font>
      <b/>
      <sz val="18"/>
      <color theme="1"/>
      <name val="Calibri"/>
      <family val="2"/>
      <scheme val="minor"/>
    </font>
    <font>
      <b/>
      <sz val="16"/>
      <color theme="1"/>
      <name val="Calibri"/>
      <family val="2"/>
      <scheme val="minor"/>
    </font>
    <font>
      <sz val="8"/>
      <color theme="1"/>
      <name val="Calibri"/>
      <family val="2"/>
      <scheme val="minor"/>
    </font>
    <font>
      <b/>
      <sz val="10"/>
      <color theme="1"/>
      <name val="Calibri"/>
      <family val="2"/>
      <scheme val="minor"/>
    </font>
    <font>
      <sz val="9"/>
      <color rgb="FFFF0000"/>
      <name val="Arial"/>
      <family val="2"/>
    </font>
    <font>
      <sz val="12"/>
      <name val="Calibri"/>
      <family val="2"/>
      <scheme val="minor"/>
    </font>
    <font>
      <b/>
      <sz val="14"/>
      <name val="Calibri"/>
      <family val="2"/>
      <scheme val="minor"/>
    </font>
    <font>
      <sz val="9"/>
      <color rgb="FF9C5700"/>
      <name val="Arial"/>
      <family val="2"/>
    </font>
    <font>
      <sz val="12"/>
      <color rgb="FF9C5700"/>
      <name val="Arial"/>
      <family val="2"/>
    </font>
    <font>
      <sz val="18"/>
      <color theme="1"/>
      <name val="Calibri"/>
      <family val="2"/>
      <scheme val="minor"/>
    </font>
    <font>
      <sz val="18"/>
      <name val="Calibri"/>
      <family val="2"/>
      <scheme val="minor"/>
    </font>
    <font>
      <b/>
      <sz val="10"/>
      <color rgb="FFFF0000"/>
      <name val="Calibri"/>
      <family val="2"/>
      <scheme val="minor"/>
    </font>
    <font>
      <sz val="12"/>
      <color theme="1"/>
      <name val="Segoe UI"/>
      <family val="2"/>
    </font>
    <font>
      <sz val="14"/>
      <color theme="1"/>
      <name val="Calibri"/>
      <family val="2"/>
      <scheme val="minor"/>
    </font>
    <font>
      <sz val="9"/>
      <color rgb="FF006100"/>
      <name val="Arial"/>
      <family val="2"/>
    </font>
    <font>
      <sz val="11"/>
      <color theme="1"/>
      <name val="Calibri"/>
      <family val="2"/>
      <scheme val="minor"/>
    </font>
    <font>
      <sz val="12"/>
      <color theme="0"/>
      <name val="Calibri"/>
      <family val="2"/>
      <scheme val="minor"/>
    </font>
    <font>
      <sz val="26"/>
      <color theme="2"/>
      <name val="Calibri"/>
      <family val="2"/>
      <scheme val="minor"/>
    </font>
    <font>
      <b/>
      <sz val="20"/>
      <color theme="2"/>
      <name val="Calibri"/>
      <family val="2"/>
    </font>
    <font>
      <b/>
      <sz val="20"/>
      <color theme="2"/>
      <name val="Calibri"/>
      <family val="2"/>
      <scheme val="minor"/>
    </font>
    <font>
      <b/>
      <sz val="18"/>
      <color theme="2"/>
      <name val="Calibri"/>
      <family val="2"/>
    </font>
    <font>
      <sz val="18"/>
      <color theme="2"/>
      <name val="Calibri"/>
      <family val="2"/>
      <scheme val="minor"/>
    </font>
    <font>
      <sz val="12"/>
      <color theme="2"/>
      <name val="Calibri"/>
      <family val="2"/>
      <scheme val="minor"/>
    </font>
    <font>
      <sz val="20"/>
      <color theme="2"/>
      <name val="Calibri"/>
      <family val="2"/>
      <scheme val="minor"/>
    </font>
    <font>
      <sz val="12"/>
      <color theme="4"/>
      <name val="Calibri"/>
      <family val="2"/>
      <scheme val="minor"/>
    </font>
    <font>
      <b/>
      <sz val="26"/>
      <color theme="2"/>
      <name val="Calibri"/>
      <family val="2"/>
      <scheme val="minor"/>
    </font>
    <font>
      <sz val="9"/>
      <color indexed="81"/>
      <name val="Tahoma"/>
      <charset val="1"/>
    </font>
  </fonts>
  <fills count="1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48118533890809E-2"/>
        <bgColor indexed="64"/>
      </patternFill>
    </fill>
    <fill>
      <patternFill patternType="solid">
        <fgColor theme="2"/>
        <bgColor indexed="64"/>
      </patternFill>
    </fill>
    <fill>
      <patternFill patternType="solid">
        <fgColor theme="0" tint="-0.14996795556505021"/>
        <bgColor indexed="64"/>
      </patternFill>
    </fill>
    <fill>
      <patternFill patternType="solid">
        <fgColor rgb="FFFFEB9C"/>
      </patternFill>
    </fill>
    <fill>
      <patternFill patternType="solid">
        <fgColor theme="4" tint="0.79998168889431442"/>
        <bgColor indexed="64"/>
      </patternFill>
    </fill>
    <fill>
      <patternFill patternType="solid">
        <fgColor theme="7"/>
        <bgColor indexed="64"/>
      </patternFill>
    </fill>
    <fill>
      <patternFill patternType="solid">
        <fgColor rgb="FFC6EFCE"/>
      </patternFill>
    </fill>
    <fill>
      <patternFill patternType="solid">
        <fgColor theme="0" tint="-4.9989318521683403E-2"/>
        <bgColor indexed="64"/>
      </patternFill>
    </fill>
    <fill>
      <patternFill patternType="solid">
        <fgColor theme="3" tint="0.749961851863155"/>
        <bgColor indexed="64"/>
      </patternFill>
    </fill>
    <fill>
      <patternFill patternType="solid">
        <fgColor theme="7" tint="0.39994506668294322"/>
        <bgColor indexed="64"/>
      </patternFill>
    </fill>
    <fill>
      <patternFill patternType="solid">
        <fgColor theme="4"/>
        <bgColor indexed="64"/>
      </patternFill>
    </fill>
    <fill>
      <patternFill patternType="solid">
        <fgColor theme="5"/>
        <bgColor indexed="64"/>
      </patternFill>
    </fill>
    <fill>
      <patternFill patternType="solid">
        <fgColor theme="4" tint="0.59996337778862885"/>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s>
  <cellStyleXfs count="6">
    <xf numFmtId="0" fontId="0" fillId="0" borderId="0"/>
    <xf numFmtId="9" fontId="3" fillId="0" borderId="0" applyFont="0" applyFill="0" applyBorder="0" applyAlignment="0" applyProtection="0"/>
    <xf numFmtId="43" fontId="3" fillId="0" borderId="0" applyFont="0" applyFill="0" applyBorder="0" applyAlignment="0" applyProtection="0"/>
    <xf numFmtId="0" fontId="7" fillId="0" borderId="0" applyNumberFormat="0" applyFill="0" applyBorder="0" applyAlignment="0" applyProtection="0"/>
    <xf numFmtId="0" fontId="16" fillId="7" borderId="0" applyNumberFormat="0" applyBorder="0" applyAlignment="0" applyProtection="0"/>
    <xf numFmtId="0" fontId="23" fillId="10" borderId="0" applyNumberFormat="0" applyBorder="0" applyAlignment="0" applyProtection="0"/>
  </cellStyleXfs>
  <cellXfs count="412">
    <xf numFmtId="0" fontId="0" fillId="0" borderId="0" xfId="0"/>
    <xf numFmtId="0" fontId="1" fillId="0" borderId="0" xfId="0" applyFont="1"/>
    <xf numFmtId="0" fontId="0" fillId="0" borderId="0" xfId="0" applyBorder="1"/>
    <xf numFmtId="0" fontId="0" fillId="0" borderId="0" xfId="0" applyAlignment="1">
      <alignment horizontal="right"/>
    </xf>
    <xf numFmtId="0" fontId="0" fillId="0" borderId="0" xfId="0" applyFill="1"/>
    <xf numFmtId="0" fontId="0" fillId="3" borderId="0" xfId="0" applyFill="1" applyAlignment="1">
      <alignment horizontal="right"/>
    </xf>
    <xf numFmtId="0" fontId="1" fillId="3" borderId="0" xfId="0" applyFont="1" applyFill="1"/>
    <xf numFmtId="0" fontId="1" fillId="0" borderId="0" xfId="0" applyFont="1" applyBorder="1"/>
    <xf numFmtId="0" fontId="0" fillId="0" borderId="3" xfId="0" applyBorder="1"/>
    <xf numFmtId="0" fontId="0" fillId="0" borderId="3" xfId="0" applyFill="1" applyBorder="1"/>
    <xf numFmtId="1" fontId="0" fillId="0" borderId="0" xfId="0" applyNumberFormat="1"/>
    <xf numFmtId="2" fontId="0" fillId="0" borderId="0" xfId="0" applyNumberFormat="1"/>
    <xf numFmtId="0" fontId="0" fillId="0" borderId="1" xfId="0" applyFill="1" applyBorder="1"/>
    <xf numFmtId="0" fontId="0" fillId="0" borderId="11" xfId="0" applyFill="1" applyBorder="1"/>
    <xf numFmtId="0" fontId="0" fillId="0" borderId="12" xfId="0" applyBorder="1"/>
    <xf numFmtId="10" fontId="0" fillId="0" borderId="0" xfId="0" applyNumberFormat="1" applyBorder="1"/>
    <xf numFmtId="0" fontId="0" fillId="0" borderId="0" xfId="0" applyFont="1"/>
    <xf numFmtId="0" fontId="0" fillId="0" borderId="13" xfId="0" applyBorder="1" applyAlignment="1">
      <alignment wrapText="1"/>
    </xf>
    <xf numFmtId="10" fontId="0" fillId="0" borderId="12" xfId="0" applyNumberFormat="1" applyBorder="1"/>
    <xf numFmtId="0" fontId="0" fillId="0" borderId="0" xfId="0" applyBorder="1" applyAlignment="1">
      <alignment horizontal="center"/>
    </xf>
    <xf numFmtId="2" fontId="0" fillId="0" borderId="4" xfId="0" applyNumberFormat="1" applyBorder="1" applyAlignment="1">
      <alignment horizontal="center"/>
    </xf>
    <xf numFmtId="2" fontId="0" fillId="0" borderId="13" xfId="0" applyNumberFormat="1" applyBorder="1" applyAlignment="1">
      <alignment horizontal="center"/>
    </xf>
    <xf numFmtId="2" fontId="0" fillId="0" borderId="12" xfId="0" applyNumberFormat="1" applyBorder="1" applyAlignment="1">
      <alignment horizontal="center"/>
    </xf>
    <xf numFmtId="0" fontId="0" fillId="0" borderId="0" xfId="0" applyAlignment="1">
      <alignment wrapText="1"/>
    </xf>
    <xf numFmtId="0" fontId="4" fillId="0" borderId="0" xfId="0" applyFont="1"/>
    <xf numFmtId="0" fontId="5" fillId="0" borderId="0" xfId="0" applyFont="1"/>
    <xf numFmtId="164" fontId="5" fillId="0" borderId="0" xfId="0" applyNumberFormat="1" applyFont="1"/>
    <xf numFmtId="0" fontId="0" fillId="0" borderId="9" xfId="0" applyBorder="1" applyAlignment="1">
      <alignment horizontal="center"/>
    </xf>
    <xf numFmtId="0" fontId="0" fillId="0" borderId="0" xfId="0" applyFill="1" applyAlignment="1">
      <alignment horizontal="right"/>
    </xf>
    <xf numFmtId="2" fontId="0" fillId="3" borderId="0" xfId="0" applyNumberFormat="1" applyFill="1" applyAlignment="1">
      <alignment horizontal="right"/>
    </xf>
    <xf numFmtId="164" fontId="0" fillId="0" borderId="9" xfId="0" applyNumberFormat="1" applyBorder="1" applyAlignment="1">
      <alignment horizontal="center"/>
    </xf>
    <xf numFmtId="0" fontId="0" fillId="0" borderId="10" xfId="0" applyBorder="1" applyAlignment="1">
      <alignment horizontal="center"/>
    </xf>
    <xf numFmtId="0" fontId="0" fillId="3" borderId="0" xfId="0" applyFont="1" applyFill="1"/>
    <xf numFmtId="0" fontId="6" fillId="0" borderId="0" xfId="0" applyFont="1"/>
    <xf numFmtId="0" fontId="0" fillId="4" borderId="0" xfId="0" applyFill="1"/>
    <xf numFmtId="164" fontId="0" fillId="0" borderId="0" xfId="0" applyNumberFormat="1" applyBorder="1" applyAlignment="1">
      <alignment horizontal="center"/>
    </xf>
    <xf numFmtId="164" fontId="0" fillId="0" borderId="10" xfId="0" applyNumberFormat="1" applyBorder="1" applyAlignment="1">
      <alignment horizontal="center"/>
    </xf>
    <xf numFmtId="2" fontId="0" fillId="0" borderId="0" xfId="0" applyNumberFormat="1" applyBorder="1" applyAlignment="1">
      <alignment horizontal="center"/>
    </xf>
    <xf numFmtId="2" fontId="0" fillId="0" borderId="3" xfId="0" applyNumberFormat="1" applyBorder="1" applyAlignment="1">
      <alignment horizontal="center"/>
    </xf>
    <xf numFmtId="0" fontId="0" fillId="0" borderId="1" xfId="0" applyBorder="1"/>
    <xf numFmtId="0" fontId="0" fillId="0" borderId="2" xfId="0" applyBorder="1"/>
    <xf numFmtId="10" fontId="0" fillId="0" borderId="2" xfId="0" applyNumberFormat="1" applyBorder="1" applyAlignment="1">
      <alignment wrapText="1"/>
    </xf>
    <xf numFmtId="0" fontId="0" fillId="0" borderId="2" xfId="0" applyFill="1" applyBorder="1" applyAlignment="1">
      <alignment wrapText="1"/>
    </xf>
    <xf numFmtId="166" fontId="0" fillId="0" borderId="8" xfId="2" applyNumberFormat="1" applyFont="1" applyBorder="1" applyAlignment="1">
      <alignment horizontal="center"/>
    </xf>
    <xf numFmtId="0" fontId="0" fillId="0" borderId="8" xfId="0" applyBorder="1" applyAlignment="1">
      <alignment horizontal="center"/>
    </xf>
    <xf numFmtId="0" fontId="0" fillId="0" borderId="13" xfId="0" applyBorder="1"/>
    <xf numFmtId="164" fontId="0" fillId="0" borderId="0" xfId="0" applyNumberFormat="1"/>
    <xf numFmtId="164" fontId="0" fillId="3" borderId="0" xfId="0" applyNumberFormat="1" applyFill="1" applyAlignment="1">
      <alignment horizontal="right"/>
    </xf>
    <xf numFmtId="0" fontId="8" fillId="0" borderId="0" xfId="0" applyFont="1"/>
    <xf numFmtId="0" fontId="9" fillId="0" borderId="0" xfId="0" applyFont="1"/>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 xfId="0" applyBorder="1" applyAlignment="1">
      <alignment horizontal="center"/>
    </xf>
    <xf numFmtId="0" fontId="0" fillId="0" borderId="15"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10" fontId="0" fillId="0" borderId="8" xfId="0" applyNumberFormat="1" applyBorder="1"/>
    <xf numFmtId="10" fontId="0" fillId="0" borderId="9" xfId="0" applyNumberFormat="1" applyBorder="1"/>
    <xf numFmtId="10" fontId="0" fillId="0" borderId="10" xfId="0" applyNumberFormat="1" applyBorder="1"/>
    <xf numFmtId="164" fontId="0" fillId="0" borderId="3" xfId="0" applyNumberFormat="1" applyBorder="1" applyAlignment="1">
      <alignment horizontal="center"/>
    </xf>
    <xf numFmtId="164" fontId="0" fillId="0" borderId="4" xfId="0" applyNumberFormat="1" applyBorder="1" applyAlignment="1">
      <alignment horizontal="center"/>
    </xf>
    <xf numFmtId="2" fontId="0" fillId="0" borderId="7" xfId="0" applyNumberFormat="1" applyBorder="1" applyAlignment="1">
      <alignment horizontal="center"/>
    </xf>
    <xf numFmtId="0" fontId="0" fillId="0" borderId="14" xfId="0" applyBorder="1" applyAlignment="1">
      <alignment wrapText="1"/>
    </xf>
    <xf numFmtId="0" fontId="10" fillId="0" borderId="0" xfId="0" applyFont="1"/>
    <xf numFmtId="0" fontId="0" fillId="0" borderId="4" xfId="0" applyBorder="1"/>
    <xf numFmtId="0" fontId="0" fillId="0" borderId="15" xfId="0" applyBorder="1"/>
    <xf numFmtId="0" fontId="0" fillId="6" borderId="0" xfId="0" applyFill="1"/>
    <xf numFmtId="0" fontId="0" fillId="0" borderId="0" xfId="0" applyFill="1" applyBorder="1" applyAlignment="1">
      <alignment wrapText="1"/>
    </xf>
    <xf numFmtId="2" fontId="0" fillId="0" borderId="15" xfId="0" applyNumberFormat="1" applyFill="1" applyBorder="1" applyAlignment="1">
      <alignment horizontal="center"/>
    </xf>
    <xf numFmtId="2" fontId="0" fillId="0" borderId="4" xfId="0" applyNumberFormat="1" applyFill="1" applyBorder="1" applyAlignment="1">
      <alignment horizontal="center"/>
    </xf>
    <xf numFmtId="2" fontId="0" fillId="0" borderId="2" xfId="0" applyNumberFormat="1" applyBorder="1" applyAlignment="1">
      <alignment horizontal="center"/>
    </xf>
    <xf numFmtId="2" fontId="0" fillId="0" borderId="15" xfId="0" applyNumberFormat="1" applyBorder="1" applyAlignment="1">
      <alignment horizontal="center"/>
    </xf>
    <xf numFmtId="0" fontId="0" fillId="0" borderId="0" xfId="0" applyFont="1" applyAlignment="1">
      <alignment horizontal="right"/>
    </xf>
    <xf numFmtId="0" fontId="2" fillId="0" borderId="0" xfId="0" applyFont="1" applyFill="1" applyBorder="1"/>
    <xf numFmtId="2" fontId="0" fillId="0" borderId="0" xfId="0" applyNumberFormat="1" applyFont="1"/>
    <xf numFmtId="0" fontId="0" fillId="0" borderId="0" xfId="0" applyFont="1" applyFill="1" applyBorder="1"/>
    <xf numFmtId="0" fontId="0" fillId="0" borderId="16" xfId="0" applyBorder="1" applyAlignment="1">
      <alignment wrapText="1"/>
    </xf>
    <xf numFmtId="164" fontId="0" fillId="0" borderId="0" xfId="0" applyNumberFormat="1" applyFont="1" applyFill="1" applyBorder="1"/>
    <xf numFmtId="0" fontId="0" fillId="0" borderId="3" xfId="0" applyBorder="1" applyAlignment="1">
      <alignment wrapText="1"/>
    </xf>
    <xf numFmtId="0" fontId="6" fillId="0" borderId="0" xfId="0" applyFont="1" applyAlignment="1">
      <alignment horizontal="center"/>
    </xf>
    <xf numFmtId="0" fontId="13" fillId="0" borderId="0" xfId="0" applyFont="1"/>
    <xf numFmtId="0" fontId="6" fillId="0" borderId="0" xfId="0" applyFont="1" applyBorder="1"/>
    <xf numFmtId="0" fontId="14" fillId="0" borderId="0" xfId="0" applyFont="1"/>
    <xf numFmtId="0" fontId="6" fillId="6" borderId="0" xfId="0" applyFont="1" applyFill="1"/>
    <xf numFmtId="0" fontId="15" fillId="0" borderId="0" xfId="0" applyFont="1"/>
    <xf numFmtId="0" fontId="14" fillId="4" borderId="0" xfId="0" applyFont="1" applyFill="1"/>
    <xf numFmtId="0" fontId="14" fillId="6" borderId="0" xfId="0" applyFont="1" applyFill="1"/>
    <xf numFmtId="0" fontId="14" fillId="0" borderId="3" xfId="0" applyFont="1" applyFill="1" applyBorder="1"/>
    <xf numFmtId="0" fontId="14" fillId="0" borderId="0" xfId="0" applyFont="1" applyBorder="1"/>
    <xf numFmtId="164" fontId="14" fillId="0" borderId="9" xfId="0" applyNumberFormat="1" applyFont="1" applyBorder="1" applyAlignment="1">
      <alignment horizontal="center"/>
    </xf>
    <xf numFmtId="10" fontId="0" fillId="0" borderId="3" xfId="0" applyNumberFormat="1" applyBorder="1"/>
    <xf numFmtId="10" fontId="0" fillId="0" borderId="1" xfId="0" applyNumberFormat="1" applyBorder="1"/>
    <xf numFmtId="10" fontId="0" fillId="0" borderId="2" xfId="0" applyNumberFormat="1" applyBorder="1"/>
    <xf numFmtId="10" fontId="0" fillId="0" borderId="15" xfId="0" applyNumberFormat="1" applyBorder="1"/>
    <xf numFmtId="10" fontId="0" fillId="0" borderId="4" xfId="0" applyNumberFormat="1" applyBorder="1"/>
    <xf numFmtId="2" fontId="0" fillId="0" borderId="6" xfId="0" applyNumberFormat="1" applyBorder="1" applyAlignment="1">
      <alignment horizontal="center"/>
    </xf>
    <xf numFmtId="2" fontId="14" fillId="0" borderId="3" xfId="0" applyNumberFormat="1" applyFont="1" applyBorder="1"/>
    <xf numFmtId="10" fontId="14" fillId="0" borderId="0" xfId="0" applyNumberFormat="1" applyFont="1" applyBorder="1"/>
    <xf numFmtId="2" fontId="14" fillId="0" borderId="4" xfId="0" applyNumberFormat="1" applyFont="1" applyFill="1" applyBorder="1" applyAlignment="1">
      <alignment horizontal="center"/>
    </xf>
    <xf numFmtId="0" fontId="0" fillId="0" borderId="7" xfId="0" applyBorder="1" applyAlignment="1">
      <alignment vertical="center"/>
    </xf>
    <xf numFmtId="0" fontId="0" fillId="0" borderId="11" xfId="0" applyBorder="1" applyAlignment="1">
      <alignment vertical="center"/>
    </xf>
    <xf numFmtId="0" fontId="0" fillId="0" borderId="5" xfId="0" applyBorder="1" applyAlignment="1">
      <alignment vertical="center" wrapText="1"/>
    </xf>
    <xf numFmtId="0" fontId="0" fillId="0" borderId="8" xfId="0" applyBorder="1"/>
    <xf numFmtId="0" fontId="0" fillId="0" borderId="10" xfId="0" applyBorder="1" applyAlignment="1">
      <alignment vertical="center" wrapText="1"/>
    </xf>
    <xf numFmtId="0" fontId="0" fillId="0" borderId="9" xfId="0" applyBorder="1"/>
    <xf numFmtId="0" fontId="0" fillId="0" borderId="10" xfId="0" applyBorder="1"/>
    <xf numFmtId="167" fontId="14" fillId="0" borderId="2" xfId="0" applyNumberFormat="1" applyFont="1" applyBorder="1"/>
    <xf numFmtId="167" fontId="14" fillId="0" borderId="0" xfId="0" applyNumberFormat="1" applyFont="1" applyBorder="1"/>
    <xf numFmtId="0" fontId="0" fillId="0" borderId="13" xfId="0" applyBorder="1" applyAlignment="1">
      <alignment vertical="center" wrapText="1"/>
    </xf>
    <xf numFmtId="0" fontId="0" fillId="0" borderId="12" xfId="0"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2" fontId="0" fillId="0" borderId="0" xfId="0" applyNumberFormat="1" applyAlignment="1">
      <alignment horizontal="right"/>
    </xf>
    <xf numFmtId="10" fontId="0" fillId="0" borderId="0" xfId="0" applyNumberFormat="1" applyAlignment="1">
      <alignment wrapText="1"/>
    </xf>
    <xf numFmtId="10" fontId="0" fillId="0" borderId="0" xfId="0" applyNumberFormat="1" applyFont="1" applyAlignment="1">
      <alignment horizontal="right"/>
    </xf>
    <xf numFmtId="10" fontId="0" fillId="0" borderId="0" xfId="0" applyNumberFormat="1" applyFont="1"/>
    <xf numFmtId="0" fontId="7" fillId="0" borderId="0" xfId="3"/>
    <xf numFmtId="1" fontId="0" fillId="3" borderId="0" xfId="0" applyNumberFormat="1" applyFill="1" applyAlignment="1">
      <alignment horizontal="right"/>
    </xf>
    <xf numFmtId="0" fontId="0" fillId="0" borderId="15" xfId="0" applyBorder="1" applyAlignment="1">
      <alignment vertical="center" wrapText="1"/>
    </xf>
    <xf numFmtId="0" fontId="0" fillId="0" borderId="4" xfId="0" applyBorder="1" applyAlignment="1">
      <alignment horizontal="center"/>
    </xf>
    <xf numFmtId="0" fontId="0" fillId="0" borderId="3" xfId="0" applyBorder="1" applyAlignment="1"/>
    <xf numFmtId="0" fontId="0" fillId="0" borderId="0" xfId="0" applyBorder="1" applyAlignment="1"/>
    <xf numFmtId="0" fontId="0" fillId="0" borderId="0" xfId="0" applyAlignment="1"/>
    <xf numFmtId="0" fontId="14" fillId="0" borderId="9" xfId="0" applyFont="1" applyBorder="1" applyAlignment="1">
      <alignment horizontal="center"/>
    </xf>
    <xf numFmtId="2" fontId="14" fillId="0" borderId="9" xfId="0" applyNumberFormat="1" applyFont="1" applyBorder="1" applyAlignment="1">
      <alignment horizontal="center"/>
    </xf>
    <xf numFmtId="164" fontId="14" fillId="0" borderId="0" xfId="0" applyNumberFormat="1" applyFont="1" applyBorder="1" applyAlignment="1">
      <alignment horizontal="center"/>
    </xf>
    <xf numFmtId="0" fontId="14" fillId="0" borderId="0" xfId="0" applyFont="1" applyBorder="1" applyAlignment="1">
      <alignment horizontal="center"/>
    </xf>
    <xf numFmtId="0" fontId="0" fillId="0" borderId="0" xfId="0" applyBorder="1" applyAlignment="1">
      <alignment horizontal="center" wrapText="1"/>
    </xf>
    <xf numFmtId="1" fontId="0" fillId="0" borderId="0" xfId="0" applyNumberFormat="1" applyBorder="1" applyAlignment="1">
      <alignment horizontal="center"/>
    </xf>
    <xf numFmtId="0" fontId="0" fillId="0" borderId="11" xfId="0" applyBorder="1" applyAlignment="1"/>
    <xf numFmtId="0" fontId="0" fillId="0" borderId="12" xfId="0" applyBorder="1" applyAlignment="1"/>
    <xf numFmtId="0" fontId="11" fillId="0" borderId="5" xfId="0" applyFont="1" applyBorder="1" applyAlignment="1">
      <alignment horizontal="center"/>
    </xf>
    <xf numFmtId="0" fontId="11" fillId="0" borderId="7" xfId="0" applyFont="1" applyBorder="1" applyAlignment="1">
      <alignment horizontal="center"/>
    </xf>
    <xf numFmtId="0" fontId="0" fillId="2" borderId="0" xfId="0" applyFill="1"/>
    <xf numFmtId="0" fontId="0" fillId="2" borderId="0" xfId="0" applyFill="1" applyBorder="1" applyAlignment="1">
      <alignment horizontal="center" vertical="center"/>
    </xf>
    <xf numFmtId="0" fontId="0" fillId="2" borderId="9" xfId="0" applyFill="1" applyBorder="1" applyAlignment="1">
      <alignment horizontal="center" vertical="center"/>
    </xf>
    <xf numFmtId="2" fontId="0" fillId="2" borderId="9" xfId="0" applyNumberFormat="1" applyFill="1" applyBorder="1" applyAlignment="1">
      <alignment horizontal="center" vertical="center"/>
    </xf>
    <xf numFmtId="0" fontId="0" fillId="0" borderId="0" xfId="0" applyFill="1" applyBorder="1" applyAlignment="1">
      <alignment horizontal="center" vertical="center"/>
    </xf>
    <xf numFmtId="2" fontId="0" fillId="2" borderId="0" xfId="0" applyNumberFormat="1" applyFill="1" applyBorder="1" applyAlignment="1">
      <alignment horizontal="center" vertical="center"/>
    </xf>
    <xf numFmtId="10" fontId="0" fillId="2" borderId="0" xfId="0" applyNumberFormat="1" applyFill="1" applyBorder="1" applyAlignment="1">
      <alignment horizontal="center" vertical="center"/>
    </xf>
    <xf numFmtId="10" fontId="0" fillId="2" borderId="9" xfId="0" applyNumberFormat="1" applyFill="1" applyBorder="1" applyAlignment="1">
      <alignment horizontal="center" vertical="center"/>
    </xf>
    <xf numFmtId="1" fontId="0" fillId="2" borderId="0" xfId="0" applyNumberFormat="1"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18" fillId="0" borderId="5" xfId="0" applyFont="1" applyBorder="1"/>
    <xf numFmtId="0" fontId="18" fillId="0" borderId="5" xfId="0" applyFont="1" applyBorder="1" applyAlignment="1">
      <alignment horizontal="center"/>
    </xf>
    <xf numFmtId="0" fontId="18" fillId="0" borderId="6" xfId="0" applyFont="1" applyBorder="1" applyAlignment="1">
      <alignment horizontal="center"/>
    </xf>
    <xf numFmtId="0" fontId="18" fillId="0" borderId="7" xfId="0" applyFont="1" applyBorder="1" applyAlignment="1">
      <alignment horizontal="center"/>
    </xf>
    <xf numFmtId="0" fontId="18" fillId="0" borderId="7" xfId="0" applyFont="1" applyBorder="1" applyAlignment="1">
      <alignment horizontal="center" wrapText="1"/>
    </xf>
    <xf numFmtId="0" fontId="18" fillId="0" borderId="0" xfId="0" applyFont="1"/>
    <xf numFmtId="164" fontId="18" fillId="0" borderId="3" xfId="0" applyNumberFormat="1" applyFont="1" applyBorder="1" applyAlignment="1">
      <alignment horizontal="center"/>
    </xf>
    <xf numFmtId="164" fontId="18" fillId="0" borderId="0" xfId="0" applyNumberFormat="1" applyFont="1" applyBorder="1" applyAlignment="1">
      <alignment horizontal="center"/>
    </xf>
    <xf numFmtId="164" fontId="18" fillId="0" borderId="4" xfId="0" applyNumberFormat="1" applyFont="1" applyBorder="1" applyAlignment="1">
      <alignment horizontal="center"/>
    </xf>
    <xf numFmtId="164" fontId="18" fillId="0" borderId="9" xfId="0" applyNumberFormat="1" applyFont="1" applyBorder="1" applyAlignment="1">
      <alignment horizontal="center"/>
    </xf>
    <xf numFmtId="0" fontId="18" fillId="0" borderId="3" xfId="0" applyFont="1" applyBorder="1"/>
    <xf numFmtId="0" fontId="18" fillId="0" borderId="0" xfId="0" applyFont="1" applyFill="1"/>
    <xf numFmtId="0" fontId="18" fillId="0" borderId="12" xfId="0" applyFont="1" applyBorder="1" applyAlignment="1"/>
    <xf numFmtId="0" fontId="18" fillId="0" borderId="13" xfId="0" applyFont="1" applyBorder="1"/>
    <xf numFmtId="0" fontId="18" fillId="0" borderId="11" xfId="0" applyFont="1" applyBorder="1" applyAlignment="1">
      <alignment horizontal="center"/>
    </xf>
    <xf numFmtId="0" fontId="18" fillId="0" borderId="12" xfId="0" applyFont="1" applyBorder="1" applyAlignment="1">
      <alignment horizontal="center"/>
    </xf>
    <xf numFmtId="0" fontId="18" fillId="0" borderId="3" xfId="0" applyFont="1" applyBorder="1" applyAlignment="1"/>
    <xf numFmtId="0" fontId="18" fillId="0" borderId="0" xfId="0" applyFont="1" applyBorder="1" applyAlignment="1"/>
    <xf numFmtId="0" fontId="18" fillId="0" borderId="4" xfId="0" applyFont="1" applyBorder="1"/>
    <xf numFmtId="0" fontId="18" fillId="0" borderId="1" xfId="0" applyFont="1" applyBorder="1" applyAlignment="1">
      <alignment horizontal="center"/>
    </xf>
    <xf numFmtId="0" fontId="18" fillId="0" borderId="3" xfId="0" applyFont="1" applyBorder="1" applyAlignment="1">
      <alignment horizontal="center"/>
    </xf>
    <xf numFmtId="2" fontId="18" fillId="0" borderId="3" xfId="0" applyNumberFormat="1" applyFont="1" applyBorder="1" applyAlignment="1">
      <alignment horizontal="center"/>
    </xf>
    <xf numFmtId="10" fontId="18" fillId="0" borderId="3" xfId="0" applyNumberFormat="1" applyFont="1" applyBorder="1" applyAlignment="1">
      <alignment horizontal="center"/>
    </xf>
    <xf numFmtId="1" fontId="18" fillId="0" borderId="3" xfId="0" applyNumberFormat="1" applyFont="1" applyBorder="1" applyAlignment="1">
      <alignment horizontal="center"/>
    </xf>
    <xf numFmtId="0" fontId="18" fillId="0" borderId="6" xfId="0" applyFont="1" applyBorder="1" applyAlignment="1"/>
    <xf numFmtId="0" fontId="18" fillId="0" borderId="7" xfId="0" applyFont="1" applyBorder="1"/>
    <xf numFmtId="0" fontId="18" fillId="0" borderId="4" xfId="0" applyFont="1" applyBorder="1" applyAlignment="1"/>
    <xf numFmtId="0" fontId="0" fillId="0" borderId="15" xfId="0" applyBorder="1" applyAlignment="1">
      <alignment horizontal="center"/>
    </xf>
    <xf numFmtId="0" fontId="0" fillId="2" borderId="3" xfId="0" applyFill="1" applyBorder="1" applyAlignment="1">
      <alignment horizontal="center"/>
    </xf>
    <xf numFmtId="0" fontId="0" fillId="2" borderId="0" xfId="0" applyFill="1" applyBorder="1" applyAlignment="1">
      <alignment horizontal="center"/>
    </xf>
    <xf numFmtId="0" fontId="0" fillId="2" borderId="4" xfId="0" applyFill="1" applyBorder="1" applyAlignment="1">
      <alignment horizontal="center"/>
    </xf>
    <xf numFmtId="0" fontId="0" fillId="2" borderId="9" xfId="0" applyFill="1" applyBorder="1" applyAlignment="1">
      <alignment horizontal="center"/>
    </xf>
    <xf numFmtId="0" fontId="0" fillId="0" borderId="0" xfId="0" applyFill="1" applyBorder="1" applyAlignment="1">
      <alignment horizontal="center"/>
    </xf>
    <xf numFmtId="0" fontId="0" fillId="0" borderId="2" xfId="0" applyBorder="1" applyAlignment="1">
      <alignment horizontal="center"/>
    </xf>
    <xf numFmtId="0" fontId="10" fillId="0" borderId="0" xfId="0" applyFont="1" applyBorder="1" applyAlignment="1">
      <alignment horizontal="center"/>
    </xf>
    <xf numFmtId="166" fontId="0" fillId="0" borderId="0" xfId="2" applyNumberFormat="1" applyFont="1" applyBorder="1" applyAlignment="1">
      <alignment horizontal="center"/>
    </xf>
    <xf numFmtId="166" fontId="0" fillId="0" borderId="1" xfId="2" applyNumberFormat="1" applyFont="1" applyBorder="1" applyAlignment="1">
      <alignment horizontal="left"/>
    </xf>
    <xf numFmtId="166" fontId="0" fillId="0" borderId="3" xfId="2" applyNumberFormat="1" applyFont="1" applyBorder="1" applyAlignment="1">
      <alignment horizontal="left"/>
    </xf>
    <xf numFmtId="166" fontId="0" fillId="0" borderId="4" xfId="2" applyNumberFormat="1" applyFont="1" applyBorder="1" applyAlignment="1">
      <alignment horizontal="center"/>
    </xf>
    <xf numFmtId="166" fontId="0" fillId="0" borderId="5" xfId="2" applyNumberFormat="1" applyFont="1" applyBorder="1" applyAlignment="1">
      <alignment horizontal="left"/>
    </xf>
    <xf numFmtId="166" fontId="0" fillId="0" borderId="6" xfId="2" applyNumberFormat="1" applyFont="1" applyBorder="1" applyAlignment="1">
      <alignment horizontal="center"/>
    </xf>
    <xf numFmtId="0" fontId="1" fillId="4" borderId="0" xfId="0" applyFont="1" applyFill="1" applyBorder="1"/>
    <xf numFmtId="0" fontId="0" fillId="0" borderId="0" xfId="0" applyFill="1" applyBorder="1"/>
    <xf numFmtId="166" fontId="0" fillId="0" borderId="2" xfId="2" applyNumberFormat="1" applyFont="1" applyBorder="1" applyAlignment="1">
      <alignment horizontal="center"/>
    </xf>
    <xf numFmtId="166" fontId="0" fillId="0" borderId="15" xfId="2" applyNumberFormat="1" applyFont="1" applyBorder="1" applyAlignment="1">
      <alignment horizontal="center"/>
    </xf>
    <xf numFmtId="164" fontId="0" fillId="0" borderId="3" xfId="0" applyNumberFormat="1" applyBorder="1" applyAlignment="1">
      <alignment horizontal="left"/>
    </xf>
    <xf numFmtId="0" fontId="0" fillId="0" borderId="3" xfId="0" applyBorder="1" applyAlignment="1">
      <alignment horizontal="left"/>
    </xf>
    <xf numFmtId="0" fontId="0" fillId="0" borderId="5" xfId="0" applyBorder="1" applyAlignment="1">
      <alignment horizontal="left"/>
    </xf>
    <xf numFmtId="0" fontId="0" fillId="0" borderId="1" xfId="0" applyFont="1" applyBorder="1"/>
    <xf numFmtId="164" fontId="14" fillId="0" borderId="2" xfId="0" applyNumberFormat="1" applyFont="1" applyBorder="1" applyAlignment="1">
      <alignment horizontal="center"/>
    </xf>
    <xf numFmtId="0" fontId="0" fillId="0" borderId="5" xfId="0" applyFill="1" applyBorder="1"/>
    <xf numFmtId="0" fontId="14" fillId="0" borderId="1" xfId="0" applyFont="1" applyFill="1" applyBorder="1"/>
    <xf numFmtId="1" fontId="0" fillId="0" borderId="2" xfId="0" applyNumberFormat="1" applyBorder="1" applyAlignment="1">
      <alignment horizontal="center"/>
    </xf>
    <xf numFmtId="164" fontId="0" fillId="0" borderId="6" xfId="0" applyNumberFormat="1" applyBorder="1" applyAlignment="1">
      <alignment horizontal="center"/>
    </xf>
    <xf numFmtId="164" fontId="0" fillId="0" borderId="7" xfId="0" applyNumberFormat="1" applyBorder="1" applyAlignment="1">
      <alignment horizontal="center"/>
    </xf>
    <xf numFmtId="0" fontId="1" fillId="0" borderId="11" xfId="0" applyFont="1" applyBorder="1"/>
    <xf numFmtId="2" fontId="1" fillId="0" borderId="12" xfId="0" applyNumberFormat="1" applyFont="1" applyBorder="1" applyAlignment="1">
      <alignment horizontal="center"/>
    </xf>
    <xf numFmtId="166" fontId="0" fillId="0" borderId="9" xfId="2" applyNumberFormat="1" applyFont="1" applyBorder="1" applyAlignment="1">
      <alignment horizontal="center"/>
    </xf>
    <xf numFmtId="166" fontId="0" fillId="0" borderId="10" xfId="2" applyNumberFormat="1" applyFont="1" applyBorder="1" applyAlignment="1">
      <alignment horizontal="center"/>
    </xf>
    <xf numFmtId="164" fontId="14" fillId="0" borderId="8" xfId="0" applyNumberFormat="1" applyFont="1" applyBorder="1" applyAlignment="1">
      <alignment horizontal="center"/>
    </xf>
    <xf numFmtId="1" fontId="0" fillId="0" borderId="8" xfId="0" applyNumberFormat="1" applyBorder="1" applyAlignment="1">
      <alignment horizontal="center"/>
    </xf>
    <xf numFmtId="167" fontId="0" fillId="0" borderId="0" xfId="0" applyNumberFormat="1" applyBorder="1" applyAlignment="1">
      <alignment horizontal="center"/>
    </xf>
    <xf numFmtId="0" fontId="10" fillId="0" borderId="4" xfId="0" applyFont="1" applyBorder="1" applyAlignment="1">
      <alignment horizontal="center"/>
    </xf>
    <xf numFmtId="10" fontId="0" fillId="0" borderId="6" xfId="0" applyNumberFormat="1" applyBorder="1" applyAlignment="1">
      <alignment wrapText="1"/>
    </xf>
    <xf numFmtId="0" fontId="0" fillId="0" borderId="6" xfId="0" applyFill="1" applyBorder="1" applyAlignment="1">
      <alignment wrapText="1"/>
    </xf>
    <xf numFmtId="0" fontId="0" fillId="0" borderId="6" xfId="0" applyBorder="1" applyAlignment="1">
      <alignment wrapText="1"/>
    </xf>
    <xf numFmtId="0" fontId="0" fillId="0" borderId="7" xfId="0" applyFill="1" applyBorder="1" applyAlignment="1">
      <alignment wrapText="1"/>
    </xf>
    <xf numFmtId="0" fontId="0" fillId="0" borderId="2" xfId="0" applyBorder="1" applyAlignment="1">
      <alignment wrapText="1"/>
    </xf>
    <xf numFmtId="0" fontId="0" fillId="0" borderId="15" xfId="0" applyFill="1" applyBorder="1" applyAlignment="1">
      <alignment wrapText="1"/>
    </xf>
    <xf numFmtId="0" fontId="0" fillId="0" borderId="6" xfId="0" applyFill="1" applyBorder="1" applyAlignment="1">
      <alignment horizontal="center"/>
    </xf>
    <xf numFmtId="9" fontId="0" fillId="0" borderId="15" xfId="0" applyNumberFormat="1" applyBorder="1" applyAlignment="1">
      <alignment horizontal="center"/>
    </xf>
    <xf numFmtId="0" fontId="1" fillId="8" borderId="3" xfId="0" applyFont="1" applyFill="1" applyBorder="1"/>
    <xf numFmtId="0" fontId="0" fillId="0" borderId="1" xfId="0" applyFill="1" applyBorder="1" applyAlignment="1">
      <alignment horizontal="center"/>
    </xf>
    <xf numFmtId="0" fontId="0" fillId="0" borderId="2" xfId="0" applyFill="1" applyBorder="1" applyAlignment="1">
      <alignment horizontal="center"/>
    </xf>
    <xf numFmtId="0" fontId="0" fillId="0" borderId="15" xfId="0" applyFill="1" applyBorder="1" applyAlignment="1">
      <alignment horizontal="center"/>
    </xf>
    <xf numFmtId="0" fontId="0" fillId="0" borderId="8" xfId="0" applyFill="1" applyBorder="1" applyAlignment="1">
      <alignment horizontal="center"/>
    </xf>
    <xf numFmtId="0" fontId="0" fillId="3" borderId="0" xfId="0" applyFill="1"/>
    <xf numFmtId="0" fontId="0" fillId="3" borderId="1" xfId="0" applyFill="1" applyBorder="1"/>
    <xf numFmtId="0" fontId="0" fillId="3" borderId="15" xfId="0" applyFill="1" applyBorder="1" applyAlignment="1">
      <alignment horizontal="right"/>
    </xf>
    <xf numFmtId="0" fontId="0" fillId="3" borderId="3" xfId="0" applyFill="1" applyBorder="1"/>
    <xf numFmtId="0" fontId="0" fillId="3" borderId="4" xfId="0" applyFill="1" applyBorder="1" applyAlignment="1">
      <alignment horizontal="right"/>
    </xf>
    <xf numFmtId="0" fontId="0" fillId="3" borderId="5" xfId="0" applyFill="1" applyBorder="1"/>
    <xf numFmtId="0" fontId="7" fillId="3" borderId="7" xfId="3" applyFill="1" applyBorder="1" applyAlignment="1">
      <alignment horizontal="right"/>
    </xf>
    <xf numFmtId="1" fontId="0" fillId="3" borderId="0" xfId="0" applyNumberFormat="1" applyFill="1"/>
    <xf numFmtId="0" fontId="0" fillId="3" borderId="0" xfId="0" applyFill="1" applyAlignment="1">
      <alignment horizontal="center"/>
    </xf>
    <xf numFmtId="0" fontId="6" fillId="3" borderId="0" xfId="0" applyFont="1" applyFill="1" applyAlignment="1">
      <alignment horizontal="left"/>
    </xf>
    <xf numFmtId="0" fontId="6" fillId="3" borderId="0" xfId="0" applyFont="1" applyFill="1"/>
    <xf numFmtId="0" fontId="6" fillId="3" borderId="0" xfId="0" applyFont="1" applyFill="1" applyAlignment="1">
      <alignment horizontal="center"/>
    </xf>
    <xf numFmtId="0" fontId="0" fillId="3" borderId="0" xfId="0" applyFill="1" applyAlignment="1">
      <alignment horizontal="left"/>
    </xf>
    <xf numFmtId="0" fontId="0" fillId="9" borderId="0" xfId="0" applyFill="1"/>
    <xf numFmtId="0" fontId="0" fillId="0" borderId="3" xfId="0" applyFill="1" applyBorder="1" applyAlignment="1">
      <alignment horizontal="center"/>
    </xf>
    <xf numFmtId="0" fontId="0" fillId="0" borderId="4" xfId="0" applyFill="1" applyBorder="1" applyAlignment="1">
      <alignment horizontal="center"/>
    </xf>
    <xf numFmtId="0" fontId="0" fillId="0" borderId="9" xfId="0" applyFill="1" applyBorder="1" applyAlignment="1">
      <alignment horizontal="center"/>
    </xf>
    <xf numFmtId="0" fontId="0" fillId="2" borderId="2" xfId="0" applyFill="1" applyBorder="1" applyAlignment="1">
      <alignment horizontal="center" vertical="center"/>
    </xf>
    <xf numFmtId="165" fontId="0" fillId="2" borderId="9" xfId="0" applyNumberFormat="1" applyFill="1" applyBorder="1" applyAlignment="1">
      <alignment horizontal="center" vertical="center"/>
    </xf>
    <xf numFmtId="0" fontId="0" fillId="0" borderId="2" xfId="0" applyBorder="1" applyAlignment="1">
      <alignment horizontal="center" wrapText="1"/>
    </xf>
    <xf numFmtId="0" fontId="0" fillId="0" borderId="15" xfId="0" applyBorder="1" applyAlignment="1">
      <alignment horizontal="center" wrapText="1"/>
    </xf>
    <xf numFmtId="10" fontId="0" fillId="2" borderId="0" xfId="0" applyNumberFormat="1" applyFill="1" applyBorder="1" applyAlignment="1">
      <alignment horizontal="center"/>
    </xf>
    <xf numFmtId="10" fontId="0" fillId="2" borderId="4" xfId="0" applyNumberFormat="1" applyFill="1" applyBorder="1" applyAlignment="1">
      <alignment horizontal="center"/>
    </xf>
    <xf numFmtId="0" fontId="4" fillId="0" borderId="14" xfId="0" applyFont="1" applyFill="1" applyBorder="1"/>
    <xf numFmtId="0" fontId="1" fillId="0" borderId="8" xfId="0" applyFont="1" applyBorder="1" applyAlignment="1">
      <alignment wrapText="1"/>
    </xf>
    <xf numFmtId="0" fontId="0" fillId="0" borderId="9" xfId="0" applyFont="1" applyBorder="1"/>
    <xf numFmtId="10" fontId="0" fillId="2" borderId="9" xfId="0" applyNumberFormat="1" applyFill="1" applyBorder="1" applyAlignment="1">
      <alignment horizontal="center"/>
    </xf>
    <xf numFmtId="0" fontId="0" fillId="3" borderId="0" xfId="0" applyFill="1" applyBorder="1"/>
    <xf numFmtId="10" fontId="0" fillId="0" borderId="0" xfId="0" applyNumberFormat="1" applyFill="1" applyBorder="1" applyAlignment="1">
      <alignment horizontal="center"/>
    </xf>
    <xf numFmtId="0" fontId="4" fillId="0" borderId="8" xfId="0" applyFont="1" applyBorder="1"/>
    <xf numFmtId="0" fontId="1" fillId="0" borderId="9" xfId="0" applyFont="1" applyBorder="1" applyAlignment="1">
      <alignment wrapText="1"/>
    </xf>
    <xf numFmtId="0" fontId="1" fillId="0" borderId="9" xfId="0" applyFont="1" applyBorder="1"/>
    <xf numFmtId="10" fontId="0" fillId="0" borderId="1" xfId="0" applyNumberFormat="1" applyBorder="1" applyAlignment="1">
      <alignment horizontal="center"/>
    </xf>
    <xf numFmtId="10" fontId="0" fillId="2" borderId="3" xfId="0" applyNumberFormat="1" applyFill="1" applyBorder="1" applyAlignment="1">
      <alignment horizontal="center"/>
    </xf>
    <xf numFmtId="0" fontId="0" fillId="0" borderId="15" xfId="0" applyBorder="1" applyAlignment="1">
      <alignment horizontal="center"/>
    </xf>
    <xf numFmtId="0" fontId="0" fillId="0" borderId="7" xfId="0" applyFill="1" applyBorder="1" applyAlignment="1">
      <alignment horizontal="center"/>
    </xf>
    <xf numFmtId="0" fontId="14" fillId="3" borderId="0" xfId="0" applyFont="1" applyFill="1"/>
    <xf numFmtId="166" fontId="0" fillId="0" borderId="7" xfId="2" applyNumberFormat="1" applyFont="1" applyBorder="1" applyAlignment="1">
      <alignment horizontal="center"/>
    </xf>
    <xf numFmtId="0" fontId="12" fillId="0" borderId="9" xfId="0" applyFont="1" applyBorder="1" applyAlignment="1">
      <alignment wrapText="1"/>
    </xf>
    <xf numFmtId="0" fontId="0" fillId="0" borderId="10" xfId="0" applyBorder="1" applyAlignment="1">
      <alignment wrapText="1"/>
    </xf>
    <xf numFmtId="0" fontId="0" fillId="0" borderId="7" xfId="0" applyBorder="1" applyAlignment="1">
      <alignment horizontal="center"/>
    </xf>
    <xf numFmtId="0" fontId="0" fillId="0" borderId="8" xfId="0" applyBorder="1" applyAlignment="1">
      <alignment wrapText="1"/>
    </xf>
    <xf numFmtId="2" fontId="0" fillId="0" borderId="9" xfId="0" applyNumberFormat="1" applyBorder="1" applyAlignment="1">
      <alignment horizontal="center"/>
    </xf>
    <xf numFmtId="2" fontId="0" fillId="0" borderId="10" xfId="0" applyNumberFormat="1" applyBorder="1" applyAlignment="1">
      <alignment horizontal="center"/>
    </xf>
    <xf numFmtId="164" fontId="0" fillId="0" borderId="8" xfId="0" applyNumberFormat="1" applyBorder="1" applyAlignment="1">
      <alignment horizontal="center"/>
    </xf>
    <xf numFmtId="2" fontId="1" fillId="0" borderId="14" xfId="0" applyNumberFormat="1" applyFont="1" applyBorder="1" applyAlignment="1">
      <alignment horizontal="center"/>
    </xf>
    <xf numFmtId="1" fontId="0" fillId="0" borderId="15" xfId="0" applyNumberFormat="1" applyBorder="1" applyAlignment="1">
      <alignment horizontal="center"/>
    </xf>
    <xf numFmtId="2" fontId="1" fillId="0" borderId="13" xfId="0" applyNumberFormat="1" applyFont="1" applyBorder="1" applyAlignment="1">
      <alignment horizontal="center"/>
    </xf>
    <xf numFmtId="1" fontId="14" fillId="4" borderId="0" xfId="0" applyNumberFormat="1" applyFont="1" applyFill="1" applyBorder="1" applyAlignment="1">
      <alignment horizontal="center"/>
    </xf>
    <xf numFmtId="0" fontId="14" fillId="4" borderId="12" xfId="0" applyFont="1" applyFill="1" applyBorder="1" applyAlignment="1">
      <alignment horizontal="center"/>
    </xf>
    <xf numFmtId="1" fontId="14" fillId="4" borderId="9" xfId="0" applyNumberFormat="1" applyFont="1" applyFill="1" applyBorder="1" applyAlignment="1">
      <alignment horizontal="center"/>
    </xf>
    <xf numFmtId="0" fontId="0" fillId="0" borderId="8" xfId="0" applyBorder="1" applyAlignment="1">
      <alignment horizontal="center" wrapText="1"/>
    </xf>
    <xf numFmtId="0" fontId="9" fillId="0" borderId="0" xfId="0" applyFont="1" applyBorder="1"/>
    <xf numFmtId="0" fontId="21" fillId="0" borderId="0" xfId="0" applyFont="1"/>
    <xf numFmtId="1" fontId="1" fillId="0" borderId="15" xfId="0" applyNumberFormat="1" applyFont="1" applyFill="1" applyBorder="1" applyAlignment="1">
      <alignment horizontal="center" vertical="center"/>
    </xf>
    <xf numFmtId="0" fontId="1" fillId="0" borderId="6" xfId="0" applyFont="1" applyBorder="1"/>
    <xf numFmtId="0" fontId="1" fillId="0" borderId="7" xfId="0" applyFont="1" applyBorder="1"/>
    <xf numFmtId="0" fontId="14" fillId="9" borderId="3" xfId="0" applyFont="1" applyFill="1" applyBorder="1"/>
    <xf numFmtId="0" fontId="14" fillId="4" borderId="12" xfId="0" applyFont="1" applyFill="1" applyBorder="1" applyAlignment="1">
      <alignment horizontal="center" wrapText="1"/>
    </xf>
    <xf numFmtId="0" fontId="14" fillId="4" borderId="13" xfId="0" applyFont="1" applyFill="1" applyBorder="1" applyAlignment="1">
      <alignment horizontal="center" wrapText="1"/>
    </xf>
    <xf numFmtId="1" fontId="14" fillId="4" borderId="9" xfId="0" applyNumberFormat="1" applyFont="1" applyFill="1" applyBorder="1" applyAlignment="1">
      <alignment horizontal="center" wrapText="1"/>
    </xf>
    <xf numFmtId="0" fontId="24" fillId="0" borderId="3" xfId="0" applyFont="1" applyBorder="1"/>
    <xf numFmtId="0" fontId="24" fillId="0" borderId="0" xfId="0" applyFont="1" applyBorder="1"/>
    <xf numFmtId="0" fontId="24" fillId="0" borderId="4" xfId="0" applyFont="1" applyBorder="1"/>
    <xf numFmtId="0" fontId="24" fillId="0" borderId="0" xfId="0" applyFont="1"/>
    <xf numFmtId="10" fontId="1" fillId="5" borderId="11" xfId="0" applyNumberFormat="1" applyFont="1" applyFill="1" applyBorder="1" applyAlignment="1">
      <alignment horizontal="center"/>
    </xf>
    <xf numFmtId="10" fontId="1" fillId="5" borderId="12" xfId="0" applyNumberFormat="1" applyFont="1" applyFill="1" applyBorder="1" applyAlignment="1">
      <alignment horizontal="center"/>
    </xf>
    <xf numFmtId="10" fontId="1" fillId="5" borderId="13" xfId="0" applyNumberFormat="1" applyFont="1" applyFill="1" applyBorder="1" applyAlignment="1">
      <alignment horizontal="center"/>
    </xf>
    <xf numFmtId="10" fontId="1" fillId="5" borderId="14" xfId="0" applyNumberFormat="1" applyFont="1" applyFill="1" applyBorder="1" applyAlignment="1">
      <alignment horizontal="center"/>
    </xf>
    <xf numFmtId="10" fontId="0" fillId="0" borderId="4" xfId="1" applyNumberFormat="1" applyFont="1" applyBorder="1" applyAlignment="1">
      <alignment horizontal="center"/>
    </xf>
    <xf numFmtId="2" fontId="18" fillId="0" borderId="14" xfId="0" applyNumberFormat="1" applyFont="1" applyBorder="1" applyAlignment="1">
      <alignment horizontal="center"/>
    </xf>
    <xf numFmtId="0" fontId="18" fillId="0" borderId="5" xfId="0" applyFont="1" applyBorder="1" applyAlignment="1">
      <alignment horizontal="center" wrapText="1"/>
    </xf>
    <xf numFmtId="0" fontId="18" fillId="0" borderId="14" xfId="0" applyFont="1" applyBorder="1"/>
    <xf numFmtId="164" fontId="18" fillId="0" borderId="11" xfId="0" applyNumberFormat="1" applyFont="1" applyFill="1" applyBorder="1" applyAlignment="1">
      <alignment horizontal="center"/>
    </xf>
    <xf numFmtId="0" fontId="18" fillId="0" borderId="14" xfId="0" applyFont="1" applyBorder="1" applyAlignment="1">
      <alignment horizontal="center" wrapText="1"/>
    </xf>
    <xf numFmtId="2" fontId="1" fillId="0" borderId="2" xfId="0" applyNumberFormat="1" applyFont="1" applyFill="1" applyBorder="1" applyAlignment="1">
      <alignment horizontal="center" vertical="center"/>
    </xf>
    <xf numFmtId="1" fontId="1" fillId="0" borderId="8" xfId="0" applyNumberFormat="1" applyFont="1" applyFill="1" applyBorder="1" applyAlignment="1">
      <alignment horizontal="center" vertical="center"/>
    </xf>
    <xf numFmtId="0" fontId="1" fillId="0" borderId="10" xfId="0" applyFont="1" applyBorder="1"/>
    <xf numFmtId="2" fontId="0" fillId="0" borderId="0" xfId="0" applyNumberFormat="1" applyFont="1" applyAlignment="1">
      <alignment horizontal="right"/>
    </xf>
    <xf numFmtId="10" fontId="0" fillId="5" borderId="12" xfId="0" applyNumberFormat="1" applyFill="1" applyBorder="1" applyAlignment="1">
      <alignment horizontal="center"/>
    </xf>
    <xf numFmtId="10" fontId="0" fillId="5" borderId="13" xfId="0" applyNumberFormat="1" applyFill="1" applyBorder="1" applyAlignment="1">
      <alignment horizontal="center"/>
    </xf>
    <xf numFmtId="0" fontId="0" fillId="8" borderId="14" xfId="0" applyFill="1" applyBorder="1"/>
    <xf numFmtId="0" fontId="0" fillId="8" borderId="11" xfId="0" applyFill="1" applyBorder="1"/>
    <xf numFmtId="10" fontId="0" fillId="5" borderId="14" xfId="0" applyNumberFormat="1" applyFill="1" applyBorder="1" applyAlignment="1">
      <alignment horizontal="center"/>
    </xf>
    <xf numFmtId="2" fontId="0" fillId="12" borderId="12" xfId="0" applyNumberFormat="1" applyFill="1" applyBorder="1" applyAlignment="1">
      <alignment horizontal="center"/>
    </xf>
    <xf numFmtId="2" fontId="0" fillId="12" borderId="13" xfId="0" applyNumberFormat="1" applyFill="1" applyBorder="1" applyAlignment="1">
      <alignment horizontal="center"/>
    </xf>
    <xf numFmtId="0" fontId="1" fillId="0" borderId="1" xfId="0" applyFont="1" applyBorder="1" applyAlignment="1">
      <alignment wrapText="1"/>
    </xf>
    <xf numFmtId="0" fontId="0" fillId="0" borderId="3" xfId="0" applyFont="1" applyBorder="1"/>
    <xf numFmtId="2" fontId="0" fillId="12" borderId="14" xfId="0" applyNumberFormat="1" applyFill="1" applyBorder="1" applyAlignment="1">
      <alignment horizontal="center"/>
    </xf>
    <xf numFmtId="2" fontId="1" fillId="12" borderId="14" xfId="0" applyNumberFormat="1" applyFont="1" applyFill="1" applyBorder="1" applyAlignment="1">
      <alignment horizontal="center"/>
    </xf>
    <xf numFmtId="0" fontId="0" fillId="0" borderId="14" xfId="0" applyFill="1" applyBorder="1" applyAlignment="1">
      <alignment horizontal="center"/>
    </xf>
    <xf numFmtId="0" fontId="25" fillId="0" borderId="0" xfId="0" applyFont="1" applyFill="1"/>
    <xf numFmtId="0" fontId="0" fillId="13" borderId="11" xfId="0" applyFill="1" applyBorder="1"/>
    <xf numFmtId="0" fontId="1" fillId="0" borderId="11" xfId="0" applyFont="1" applyFill="1" applyBorder="1"/>
    <xf numFmtId="0" fontId="0" fillId="13" borderId="14" xfId="0" applyFill="1" applyBorder="1"/>
    <xf numFmtId="167" fontId="0" fillId="0" borderId="9" xfId="0" applyNumberFormat="1" applyBorder="1" applyAlignment="1">
      <alignment horizontal="center"/>
    </xf>
    <xf numFmtId="0" fontId="18" fillId="0" borderId="0" xfId="0" applyFont="1" applyBorder="1" applyAlignment="1"/>
    <xf numFmtId="0" fontId="0" fillId="14" borderId="0" xfId="0" applyFill="1"/>
    <xf numFmtId="0" fontId="18" fillId="14" borderId="0" xfId="0" applyFont="1" applyFill="1"/>
    <xf numFmtId="0" fontId="31" fillId="14" borderId="0" xfId="0" applyFont="1" applyFill="1"/>
    <xf numFmtId="0" fontId="33" fillId="14" borderId="0" xfId="0" applyFont="1" applyFill="1"/>
    <xf numFmtId="0" fontId="0" fillId="14" borderId="0" xfId="0" applyFill="1" applyBorder="1"/>
    <xf numFmtId="164" fontId="0" fillId="14" borderId="0" xfId="0" applyNumberFormat="1" applyFill="1" applyBorder="1" applyAlignment="1">
      <alignment horizontal="center"/>
    </xf>
    <xf numFmtId="1" fontId="0" fillId="14" borderId="0" xfId="0" applyNumberFormat="1" applyFill="1" applyBorder="1" applyAlignment="1">
      <alignment horizontal="center"/>
    </xf>
    <xf numFmtId="0" fontId="22" fillId="14" borderId="0" xfId="0" applyFont="1" applyFill="1"/>
    <xf numFmtId="0" fontId="18" fillId="0" borderId="6" xfId="0" applyFont="1" applyBorder="1"/>
    <xf numFmtId="0" fontId="18" fillId="0" borderId="0" xfId="0" applyFont="1" applyBorder="1"/>
    <xf numFmtId="0" fontId="18" fillId="0" borderId="12" xfId="0" applyFont="1" applyBorder="1"/>
    <xf numFmtId="0" fontId="0" fillId="5" borderId="16" xfId="0" applyFill="1" applyBorder="1"/>
    <xf numFmtId="164" fontId="18" fillId="0" borderId="1" xfId="0" applyNumberFormat="1" applyFont="1" applyBorder="1" applyAlignment="1">
      <alignment horizontal="center"/>
    </xf>
    <xf numFmtId="0" fontId="18" fillId="0" borderId="2" xfId="0" applyFont="1" applyBorder="1" applyAlignment="1">
      <alignment horizontal="center"/>
    </xf>
    <xf numFmtId="0" fontId="18" fillId="0" borderId="0" xfId="0" applyFont="1" applyBorder="1" applyAlignment="1">
      <alignment horizontal="center"/>
    </xf>
    <xf numFmtId="0" fontId="0" fillId="14" borderId="0" xfId="0" applyFill="1" applyBorder="1" applyAlignment="1"/>
    <xf numFmtId="164" fontId="0" fillId="14" borderId="0" xfId="0" applyNumberFormat="1" applyFill="1" applyBorder="1"/>
    <xf numFmtId="0" fontId="6" fillId="14" borderId="0" xfId="0" applyFont="1" applyFill="1" applyBorder="1"/>
    <xf numFmtId="0" fontId="31" fillId="14" borderId="0" xfId="0" applyFont="1" applyFill="1" applyBorder="1"/>
    <xf numFmtId="167" fontId="0" fillId="0" borderId="4" xfId="0" applyNumberFormat="1" applyBorder="1" applyAlignment="1">
      <alignment horizontal="center"/>
    </xf>
    <xf numFmtId="164" fontId="18" fillId="0" borderId="13" xfId="0" applyNumberFormat="1" applyFont="1" applyBorder="1" applyAlignment="1">
      <alignment horizontal="center"/>
    </xf>
    <xf numFmtId="0" fontId="23" fillId="15" borderId="0" xfId="5" applyFill="1"/>
    <xf numFmtId="0" fontId="17" fillId="0" borderId="5" xfId="4" applyFont="1" applyFill="1" applyBorder="1" applyAlignment="1">
      <alignment horizontal="center"/>
    </xf>
    <xf numFmtId="0" fontId="17" fillId="0" borderId="7" xfId="4" applyFont="1" applyFill="1" applyBorder="1" applyAlignment="1">
      <alignment horizontal="center"/>
    </xf>
    <xf numFmtId="0" fontId="17" fillId="0" borderId="10" xfId="4" applyFont="1" applyFill="1" applyBorder="1" applyAlignment="1">
      <alignment horizontal="center"/>
    </xf>
    <xf numFmtId="0" fontId="0" fillId="0" borderId="5" xfId="0" applyBorder="1"/>
    <xf numFmtId="1" fontId="0" fillId="0" borderId="9" xfId="0" applyNumberFormat="1" applyBorder="1" applyAlignment="1">
      <alignment horizontal="center"/>
    </xf>
    <xf numFmtId="0" fontId="1" fillId="16" borderId="5" xfId="0" applyFont="1" applyFill="1" applyBorder="1"/>
    <xf numFmtId="0" fontId="0" fillId="2" borderId="8" xfId="0" applyFill="1" applyBorder="1" applyAlignment="1">
      <alignment horizontal="center" vertical="center"/>
    </xf>
    <xf numFmtId="0" fontId="0" fillId="2" borderId="9" xfId="0" applyFill="1" applyBorder="1" applyAlignment="1">
      <alignment vertical="center"/>
    </xf>
    <xf numFmtId="0" fontId="1" fillId="0" borderId="1" xfId="0" applyFont="1" applyBorder="1"/>
    <xf numFmtId="0" fontId="1" fillId="9" borderId="5" xfId="0" applyFont="1" applyFill="1" applyBorder="1"/>
    <xf numFmtId="0" fontId="0" fillId="0" borderId="9" xfId="0" applyFill="1" applyBorder="1" applyAlignment="1">
      <alignment horizontal="center" vertical="center"/>
    </xf>
    <xf numFmtId="1" fontId="0" fillId="2" borderId="9" xfId="0" applyNumberFormat="1" applyFill="1" applyBorder="1" applyAlignment="1">
      <alignment horizontal="center" vertical="center"/>
    </xf>
    <xf numFmtId="2" fontId="1" fillId="0" borderId="8" xfId="0" applyNumberFormat="1" applyFont="1" applyFill="1" applyBorder="1" applyAlignment="1">
      <alignment horizontal="center" vertical="center"/>
    </xf>
    <xf numFmtId="0" fontId="1" fillId="0" borderId="10" xfId="0" applyFont="1" applyFill="1" applyBorder="1" applyAlignment="1">
      <alignment horizontal="right"/>
    </xf>
    <xf numFmtId="0" fontId="34" fillId="14" borderId="0" xfId="0" applyFont="1" applyFill="1" applyAlignment="1">
      <alignment horizontal="center"/>
    </xf>
    <xf numFmtId="0" fontId="23" fillId="10" borderId="11" xfId="5" applyBorder="1" applyAlignment="1">
      <alignment horizontal="center"/>
    </xf>
    <xf numFmtId="0" fontId="23" fillId="10" borderId="12" xfId="5" applyBorder="1" applyAlignment="1">
      <alignment horizontal="center"/>
    </xf>
    <xf numFmtId="0" fontId="23" fillId="10" borderId="13" xfId="5" applyBorder="1" applyAlignment="1">
      <alignment horizontal="center"/>
    </xf>
    <xf numFmtId="0" fontId="0" fillId="11" borderId="3" xfId="0" applyFill="1" applyBorder="1" applyAlignment="1">
      <alignment wrapText="1"/>
    </xf>
    <xf numFmtId="0" fontId="0" fillId="11" borderId="0" xfId="0" applyFill="1" applyAlignment="1">
      <alignment wrapText="1"/>
    </xf>
    <xf numFmtId="0" fontId="0" fillId="11" borderId="4" xfId="0" applyFill="1" applyBorder="1" applyAlignment="1">
      <alignment wrapText="1"/>
    </xf>
    <xf numFmtId="0" fontId="0" fillId="11" borderId="5" xfId="0" applyFill="1" applyBorder="1" applyAlignment="1">
      <alignment wrapText="1"/>
    </xf>
    <xf numFmtId="0" fontId="0" fillId="11" borderId="6" xfId="0" applyFill="1" applyBorder="1" applyAlignment="1">
      <alignment wrapText="1"/>
    </xf>
    <xf numFmtId="0" fontId="0" fillId="11" borderId="7" xfId="0" applyFill="1" applyBorder="1" applyAlignment="1">
      <alignment wrapText="1"/>
    </xf>
    <xf numFmtId="0" fontId="4" fillId="0" borderId="0" xfId="0" applyFont="1" applyAlignment="1">
      <alignment horizontal="center" wrapText="1"/>
    </xf>
    <xf numFmtId="0" fontId="26" fillId="14" borderId="0" xfId="0" applyFont="1" applyFill="1" applyAlignment="1">
      <alignment horizontal="center"/>
    </xf>
    <xf numFmtId="0" fontId="28" fillId="14" borderId="0" xfId="0" applyFont="1" applyFill="1" applyBorder="1" applyAlignment="1">
      <alignment horizontal="center"/>
    </xf>
    <xf numFmtId="0" fontId="18" fillId="0" borderId="3" xfId="0" applyFont="1" applyBorder="1" applyAlignment="1"/>
    <xf numFmtId="0" fontId="18" fillId="0" borderId="0" xfId="0" applyFont="1" applyBorder="1" applyAlignment="1"/>
    <xf numFmtId="0" fontId="18" fillId="0" borderId="4" xfId="0" applyFont="1" applyBorder="1" applyAlignment="1"/>
    <xf numFmtId="0" fontId="18" fillId="14" borderId="0" xfId="0" applyFont="1" applyFill="1" applyBorder="1" applyAlignment="1"/>
    <xf numFmtId="0" fontId="18" fillId="14" borderId="0" xfId="0" applyFont="1" applyFill="1" applyAlignment="1"/>
    <xf numFmtId="0" fontId="9" fillId="0" borderId="11" xfId="0" applyFont="1" applyBorder="1" applyAlignment="1"/>
    <xf numFmtId="0" fontId="9" fillId="0" borderId="12" xfId="0" applyFont="1" applyBorder="1" applyAlignment="1"/>
    <xf numFmtId="0" fontId="18" fillId="0" borderId="12" xfId="0" applyFont="1" applyBorder="1" applyAlignment="1"/>
    <xf numFmtId="0" fontId="18" fillId="0" borderId="5" xfId="0" applyFont="1" applyBorder="1" applyAlignment="1"/>
    <xf numFmtId="0" fontId="18" fillId="0" borderId="6" xfId="0" applyFont="1" applyBorder="1" applyAlignment="1"/>
    <xf numFmtId="0" fontId="18" fillId="0" borderId="7" xfId="0" applyFont="1" applyBorder="1" applyAlignment="1"/>
    <xf numFmtId="0" fontId="18" fillId="0" borderId="1" xfId="0" applyFont="1" applyBorder="1" applyAlignment="1"/>
    <xf numFmtId="0" fontId="18" fillId="0" borderId="2" xfId="0" applyFont="1" applyBorder="1" applyAlignment="1"/>
    <xf numFmtId="0" fontId="18" fillId="0" borderId="15" xfId="0" applyFont="1" applyBorder="1" applyAlignment="1"/>
    <xf numFmtId="0" fontId="9" fillId="0" borderId="13" xfId="0" applyFont="1" applyBorder="1" applyAlignment="1"/>
    <xf numFmtId="0" fontId="29" fillId="14" borderId="6" xfId="0" applyFont="1" applyFill="1" applyBorder="1" applyAlignment="1">
      <alignment horizontal="center"/>
    </xf>
    <xf numFmtId="0" fontId="30" fillId="14" borderId="6" xfId="0" applyFont="1" applyFill="1" applyBorder="1" applyAlignment="1"/>
    <xf numFmtId="0" fontId="30" fillId="14" borderId="2" xfId="0" applyFont="1" applyFill="1" applyBorder="1" applyAlignment="1">
      <alignment horizontal="center"/>
    </xf>
    <xf numFmtId="0" fontId="27" fillId="14" borderId="2" xfId="0" applyFont="1" applyFill="1" applyBorder="1" applyAlignment="1">
      <alignment horizontal="center"/>
    </xf>
    <xf numFmtId="0" fontId="28" fillId="14" borderId="2" xfId="0" applyFont="1" applyFill="1" applyBorder="1" applyAlignment="1">
      <alignment horizontal="center"/>
    </xf>
    <xf numFmtId="0" fontId="0" fillId="14" borderId="0" xfId="0" applyFill="1" applyBorder="1" applyAlignment="1"/>
    <xf numFmtId="0" fontId="0" fillId="14" borderId="0" xfId="0" applyFill="1" applyAlignment="1"/>
    <xf numFmtId="0" fontId="27" fillId="14" borderId="1" xfId="0" applyFont="1" applyFill="1" applyBorder="1" applyAlignment="1">
      <alignment horizontal="center"/>
    </xf>
    <xf numFmtId="0" fontId="32" fillId="14" borderId="15" xfId="0" applyFont="1" applyFill="1" applyBorder="1" applyAlignment="1">
      <alignment horizontal="center"/>
    </xf>
    <xf numFmtId="0" fontId="29" fillId="14" borderId="5" xfId="0" applyFont="1" applyFill="1" applyBorder="1" applyAlignment="1">
      <alignment horizontal="center"/>
    </xf>
    <xf numFmtId="0" fontId="30" fillId="14" borderId="7" xfId="0" applyFont="1" applyFill="1" applyBorder="1" applyAlignment="1"/>
    <xf numFmtId="0" fontId="20" fillId="0" borderId="0" xfId="0" applyFont="1" applyBorder="1" applyAlignment="1">
      <alignment wrapText="1"/>
    </xf>
    <xf numFmtId="0" fontId="10" fillId="0" borderId="6" xfId="0" applyFont="1" applyBorder="1" applyAlignment="1">
      <alignment horizontal="center"/>
    </xf>
    <xf numFmtId="0" fontId="0" fillId="0" borderId="1" xfId="0" applyBorder="1" applyAlignment="1">
      <alignment horizontal="center"/>
    </xf>
    <xf numFmtId="0" fontId="0" fillId="0" borderId="15" xfId="0" applyBorder="1" applyAlignment="1">
      <alignment horizontal="center"/>
    </xf>
    <xf numFmtId="0" fontId="30" fillId="14" borderId="0" xfId="0" applyFont="1" applyFill="1" applyBorder="1" applyAlignment="1">
      <alignment horizontal="center"/>
    </xf>
    <xf numFmtId="2" fontId="18" fillId="0" borderId="16" xfId="0" applyNumberFormat="1" applyFont="1" applyFill="1" applyBorder="1" applyAlignment="1">
      <alignment horizontal="center"/>
    </xf>
    <xf numFmtId="0" fontId="19" fillId="0" borderId="11" xfId="0" applyFont="1" applyBorder="1"/>
    <xf numFmtId="0" fontId="0" fillId="11" borderId="0" xfId="0" applyFill="1"/>
    <xf numFmtId="0" fontId="18" fillId="11" borderId="0" xfId="0" applyFont="1" applyFill="1" applyBorder="1" applyAlignment="1"/>
    <xf numFmtId="0" fontId="18" fillId="11" borderId="0" xfId="0" applyFont="1" applyFill="1" applyBorder="1" applyAlignment="1">
      <alignment horizontal="center"/>
    </xf>
    <xf numFmtId="164" fontId="18" fillId="0" borderId="9" xfId="0" applyNumberFormat="1" applyFont="1" applyFill="1" applyBorder="1" applyAlignment="1">
      <alignment horizontal="center"/>
    </xf>
    <xf numFmtId="1" fontId="18" fillId="0" borderId="14" xfId="0" applyNumberFormat="1" applyFont="1" applyFill="1" applyBorder="1" applyAlignment="1">
      <alignment horizontal="center"/>
    </xf>
    <xf numFmtId="1" fontId="18" fillId="0" borderId="17" xfId="0" applyNumberFormat="1" applyFont="1" applyFill="1" applyBorder="1" applyAlignment="1">
      <alignment horizontal="center"/>
    </xf>
    <xf numFmtId="1" fontId="18" fillId="0" borderId="17" xfId="0" applyNumberFormat="1" applyFont="1" applyBorder="1" applyAlignment="1">
      <alignment horizontal="center"/>
    </xf>
    <xf numFmtId="1" fontId="18" fillId="0" borderId="15" xfId="0" applyNumberFormat="1" applyFont="1" applyBorder="1" applyAlignment="1">
      <alignment horizontal="center"/>
    </xf>
    <xf numFmtId="1" fontId="18" fillId="0" borderId="8" xfId="0" applyNumberFormat="1" applyFont="1" applyBorder="1" applyAlignment="1">
      <alignment horizontal="center"/>
    </xf>
    <xf numFmtId="2" fontId="18" fillId="0" borderId="16" xfId="0" applyNumberFormat="1" applyFont="1" applyBorder="1" applyAlignment="1">
      <alignment horizontal="center"/>
    </xf>
  </cellXfs>
  <cellStyles count="6">
    <cellStyle name="God" xfId="5" builtinId="26"/>
    <cellStyle name="Komma" xfId="2" builtinId="3"/>
    <cellStyle name="Link" xfId="3" builtinId="8"/>
    <cellStyle name="Neutral" xfId="4" builtinId="28"/>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da-DK" sz="2000" b="1"/>
              <a:t>Fordeling af klimaaftryk per kg levende</a:t>
            </a:r>
            <a:r>
              <a:rPr lang="da-DK" sz="2000" b="1" baseline="0"/>
              <a:t> vægt i gennemsnit</a:t>
            </a:r>
            <a:endParaRPr lang="da-DK" sz="2000" b="1"/>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spPr>
            <a:solidFill>
              <a:schemeClr val="tx2">
                <a:lumMod val="50000"/>
                <a:lumOff val="50000"/>
              </a:schemeClr>
            </a:solidFill>
            <a:ln>
              <a:solidFill>
                <a:schemeClr val="tx2">
                  <a:lumMod val="50000"/>
                  <a:lumOff val="50000"/>
                </a:schemeClr>
              </a:solidFill>
            </a:ln>
            <a:effectLst/>
          </c:spPr>
          <c:invertIfNegative val="0"/>
          <c:dPt>
            <c:idx val="0"/>
            <c:invertIfNegative val="0"/>
            <c:bubble3D val="0"/>
            <c:spPr>
              <a:solidFill>
                <a:schemeClr val="tx2">
                  <a:lumMod val="50000"/>
                  <a:lumOff val="50000"/>
                </a:schemeClr>
              </a:solidFill>
              <a:ln>
                <a:solidFill>
                  <a:schemeClr val="tx2">
                    <a:lumMod val="50000"/>
                    <a:lumOff val="50000"/>
                  </a:schemeClr>
                </a:solidFill>
              </a:ln>
              <a:effectLst/>
            </c:spPr>
            <c:extLst>
              <c:ext xmlns:c16="http://schemas.microsoft.com/office/drawing/2014/chart" uri="{C3380CC4-5D6E-409C-BE32-E72D297353CC}">
                <c16:uniqueId val="{00000001-EA8F-4FD4-804A-DD871C5AD8B7}"/>
              </c:ext>
            </c:extLst>
          </c:dPt>
          <c:dPt>
            <c:idx val="6"/>
            <c:invertIfNegative val="0"/>
            <c:bubble3D val="0"/>
            <c:spPr>
              <a:solidFill>
                <a:schemeClr val="tx2">
                  <a:lumMod val="50000"/>
                  <a:lumOff val="50000"/>
                </a:schemeClr>
              </a:solidFill>
              <a:ln>
                <a:solidFill>
                  <a:schemeClr val="tx2">
                    <a:lumMod val="50000"/>
                    <a:lumOff val="50000"/>
                  </a:schemeClr>
                </a:solidFill>
              </a:ln>
              <a:effectLst/>
            </c:spPr>
            <c:extLst>
              <c:ext xmlns:c16="http://schemas.microsoft.com/office/drawing/2014/chart" uri="{C3380CC4-5D6E-409C-BE32-E72D297353CC}">
                <c16:uniqueId val="{00000003-E5FF-4AF8-BB32-FDA21EB3BFA8}"/>
              </c:ext>
            </c:extLst>
          </c:dPt>
          <c:dPt>
            <c:idx val="8"/>
            <c:invertIfNegative val="0"/>
            <c:bubble3D val="0"/>
            <c:spPr>
              <a:solidFill>
                <a:schemeClr val="tx2">
                  <a:lumMod val="50000"/>
                  <a:lumOff val="50000"/>
                </a:schemeClr>
              </a:solidFill>
              <a:ln>
                <a:solidFill>
                  <a:schemeClr val="tx2">
                    <a:lumMod val="50000"/>
                    <a:lumOff val="50000"/>
                  </a:schemeClr>
                </a:solidFill>
              </a:ln>
              <a:effectLst/>
            </c:spPr>
            <c:extLst>
              <c:ext xmlns:c16="http://schemas.microsoft.com/office/drawing/2014/chart" uri="{C3380CC4-5D6E-409C-BE32-E72D297353CC}">
                <c16:uniqueId val="{0000000A-BEDF-4FC5-A488-91021BEAC5DA}"/>
              </c:ext>
            </c:extLst>
          </c:dPt>
          <c:dPt>
            <c:idx val="9"/>
            <c:invertIfNegative val="0"/>
            <c:bubble3D val="0"/>
            <c:spPr>
              <a:solidFill>
                <a:schemeClr val="accent1">
                  <a:lumMod val="60000"/>
                  <a:lumOff val="40000"/>
                </a:schemeClr>
              </a:solidFill>
              <a:ln>
                <a:solidFill>
                  <a:schemeClr val="tx2">
                    <a:lumMod val="50000"/>
                    <a:lumOff val="50000"/>
                  </a:schemeClr>
                </a:solidFill>
              </a:ln>
              <a:effectLst/>
            </c:spPr>
            <c:extLst>
              <c:ext xmlns:c16="http://schemas.microsoft.com/office/drawing/2014/chart" uri="{C3380CC4-5D6E-409C-BE32-E72D297353CC}">
                <c16:uniqueId val="{00000008-EA8F-4FD4-804A-DD871C5AD8B7}"/>
              </c:ext>
            </c:extLst>
          </c:dPt>
          <c:dLbls>
            <c:dLbl>
              <c:idx val="6"/>
              <c:layout>
                <c:manualLayout>
                  <c:x val="0"/>
                  <c:y val="7.35083513800925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FF-4AF8-BB32-FDA21EB3BFA8}"/>
                </c:ext>
              </c:extLst>
            </c:dLbl>
            <c:dLbl>
              <c:idx val="7"/>
              <c:layout>
                <c:manualLayout>
                  <c:x val="-1.184433227250482E-3"/>
                  <c:y val="7.35083513800926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A8F-4FD4-804A-DD871C5AD8B7}"/>
                </c:ext>
              </c:extLst>
            </c:dLbl>
            <c:dLbl>
              <c:idx val="8"/>
              <c:layout>
                <c:manualLayout>
                  <c:x val="-2.3688664545007902E-3"/>
                  <c:y val="8.24184545776796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EDF-4FC5-A488-91021BEAC5DA}"/>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Beregningmotor!$B$27:$B$37</c15:sqref>
                  </c15:fullRef>
                </c:ext>
              </c:extLst>
              <c:f>(Beregningmotor!$B$27:$B$30,Beregningmotor!$B$32:$B$37)</c:f>
              <c:strCache>
                <c:ptCount val="10"/>
                <c:pt idx="0">
                  <c:v>Smågris</c:v>
                </c:pt>
                <c:pt idx="1">
                  <c:v>Foderforbrug</c:v>
                </c:pt>
                <c:pt idx="2">
                  <c:v>Energi</c:v>
                </c:pt>
                <c:pt idx="3">
                  <c:v>Fordøjelse </c:v>
                </c:pt>
                <c:pt idx="4">
                  <c:v>Stald og gylleopbevaring (gødninmgsproduktion)</c:v>
                </c:pt>
                <c:pt idx="5">
                  <c:v>Strøelse + diverse</c:v>
                </c:pt>
                <c:pt idx="6">
                  <c:v>Miljøteknologi</c:v>
                </c:pt>
                <c:pt idx="7">
                  <c:v>Gylle håndtering</c:v>
                </c:pt>
                <c:pt idx="8">
                  <c:v>Biogas metan -emissioner</c:v>
                </c:pt>
                <c:pt idx="9">
                  <c:v>Total inkl smågrisen</c:v>
                </c:pt>
              </c:strCache>
            </c:strRef>
          </c:cat>
          <c:val>
            <c:numRef>
              <c:extLst>
                <c:ext xmlns:c15="http://schemas.microsoft.com/office/drawing/2012/chart" uri="{02D57815-91ED-43cb-92C2-25804820EDAC}">
                  <c15:fullRef>
                    <c15:sqref>Beregningmotor!$L$27:$L$37</c15:sqref>
                  </c15:fullRef>
                </c:ext>
              </c:extLst>
              <c:f>(Beregningmotor!$L$27:$L$30,Beregningmotor!$L$32:$L$37)</c:f>
              <c:numCache>
                <c:formatCode>0.00</c:formatCode>
                <c:ptCount val="10"/>
                <c:pt idx="0">
                  <c:v>0.86734732824427485</c:v>
                </c:pt>
                <c:pt idx="1">
                  <c:v>1.0311725749286877</c:v>
                </c:pt>
                <c:pt idx="2">
                  <c:v>4.1637751561415678E-2</c:v>
                </c:pt>
                <c:pt idx="3">
                  <c:v>9.1950034698126293E-2</c:v>
                </c:pt>
                <c:pt idx="4">
                  <c:v>0.41117279666897988</c:v>
                </c:pt>
                <c:pt idx="5">
                  <c:v>8.6745315752949342E-3</c:v>
                </c:pt>
                <c:pt idx="6">
                  <c:v>0</c:v>
                </c:pt>
                <c:pt idx="7">
                  <c:v>0</c:v>
                </c:pt>
                <c:pt idx="8">
                  <c:v>0</c:v>
                </c:pt>
                <c:pt idx="9">
                  <c:v>2.451955017676779</c:v>
                </c:pt>
              </c:numCache>
            </c:numRef>
          </c:val>
          <c:extLst>
            <c:ext xmlns:c16="http://schemas.microsoft.com/office/drawing/2014/chart" uri="{C3380CC4-5D6E-409C-BE32-E72D297353CC}">
              <c16:uniqueId val="{00000000-4046-47AA-9DDB-5DC2F1D91EED}"/>
            </c:ext>
          </c:extLst>
        </c:ser>
        <c:ser>
          <c:idx val="1"/>
          <c:order val="1"/>
          <c:tx>
            <c:v>NORM</c:v>
          </c:tx>
          <c:spPr>
            <a:solidFill>
              <a:schemeClr val="accent2"/>
            </a:solidFill>
            <a:ln>
              <a:noFill/>
            </a:ln>
            <a:effectLst/>
          </c:spPr>
          <c:invertIfNegative val="0"/>
          <c:dPt>
            <c:idx val="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9-F457-471D-B546-5EC563D40FBF}"/>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accent2">
                        <a:lumMod val="50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0"/>
              <c:pt idx="0">
                <c:v>Smågris</c:v>
              </c:pt>
              <c:pt idx="1">
                <c:v>Foderforbrug</c:v>
              </c:pt>
              <c:pt idx="2">
                <c:v>Energi</c:v>
              </c:pt>
              <c:pt idx="3">
                <c:v>Fordøjelse </c:v>
              </c:pt>
              <c:pt idx="4">
                <c:v>Stald og gylleopbevaring (gødninmgsproduktion)</c:v>
              </c:pt>
              <c:pt idx="5">
                <c:v>Strøelse + diverse</c:v>
              </c:pt>
              <c:pt idx="6">
                <c:v>Miljøteknologi</c:v>
              </c:pt>
              <c:pt idx="7">
                <c:v>Gylle håndtering</c:v>
              </c:pt>
              <c:pt idx="8">
                <c:v>Biogas metan -emissioner</c:v>
              </c:pt>
              <c:pt idx="9">
                <c:v>Total inkl smågrisen</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Beregningmotor!$M$27:$M$37</c15:sqref>
                  </c15:fullRef>
                </c:ext>
              </c:extLst>
              <c:f>(Beregningmotor!$M$27:$M$30,Beregningmotor!$M$32:$M$37)</c:f>
              <c:numCache>
                <c:formatCode>0.00</c:formatCode>
                <c:ptCount val="10"/>
                <c:pt idx="0">
                  <c:v>0.86745315752949337</c:v>
                </c:pt>
                <c:pt idx="1">
                  <c:v>1.0311725749286877</c:v>
                </c:pt>
                <c:pt idx="2">
                  <c:v>4.1637751561415678E-2</c:v>
                </c:pt>
                <c:pt idx="3">
                  <c:v>9.1950034698126293E-2</c:v>
                </c:pt>
                <c:pt idx="4">
                  <c:v>0.41117279666897988</c:v>
                </c:pt>
                <c:pt idx="5">
                  <c:v>8.6745315752949342E-3</c:v>
                </c:pt>
                <c:pt idx="6">
                  <c:v>0</c:v>
                </c:pt>
                <c:pt idx="7">
                  <c:v>0</c:v>
                </c:pt>
                <c:pt idx="8">
                  <c:v>0</c:v>
                </c:pt>
                <c:pt idx="9">
                  <c:v>2.4520608469619978</c:v>
                </c:pt>
              </c:numCache>
            </c:numRef>
          </c:val>
          <c:extLst>
            <c:ext xmlns:c16="http://schemas.microsoft.com/office/drawing/2014/chart" uri="{C3380CC4-5D6E-409C-BE32-E72D297353CC}">
              <c16:uniqueId val="{0000000B-74CD-4BD2-B7E8-181E16B35C3F}"/>
            </c:ext>
          </c:extLst>
        </c:ser>
        <c:dLbls>
          <c:showLegendKey val="0"/>
          <c:showVal val="0"/>
          <c:showCatName val="0"/>
          <c:showSerName val="0"/>
          <c:showPercent val="0"/>
          <c:showBubbleSize val="0"/>
        </c:dLbls>
        <c:gapWidth val="219"/>
        <c:overlap val="-27"/>
        <c:axId val="584269152"/>
        <c:axId val="584269808"/>
      </c:barChart>
      <c:catAx>
        <c:axId val="584269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a-DK"/>
          </a:p>
        </c:txPr>
        <c:crossAx val="584269808"/>
        <c:crosses val="autoZero"/>
        <c:auto val="1"/>
        <c:lblAlgn val="ctr"/>
        <c:lblOffset val="100"/>
        <c:noMultiLvlLbl val="0"/>
      </c:catAx>
      <c:valAx>
        <c:axId val="584269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kg CO2e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crossAx val="584269152"/>
        <c:crosses val="autoZero"/>
        <c:crossBetween val="between"/>
      </c:valAx>
      <c:spPr>
        <a:noFill/>
        <a:ln>
          <a:noFill/>
        </a:ln>
        <a:effectLst/>
      </c:spPr>
    </c:plotArea>
    <c:legend>
      <c:legendPos val="t"/>
      <c:legendEntry>
        <c:idx val="0"/>
        <c:delete val="1"/>
      </c:legendEntry>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r>
              <a:rPr lang="da-DK" sz="2000" b="1">
                <a:solidFill>
                  <a:sysClr val="windowText" lastClr="000000"/>
                </a:solidFill>
              </a:rPr>
              <a:t>Fordeling af klimaaftryk per slagtesvin (1)</a:t>
            </a:r>
          </a:p>
        </c:rich>
      </c:tx>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'Klima på slagtegrisen'!$B$4:$B$13</c:f>
              <c:strCache>
                <c:ptCount val="10"/>
                <c:pt idx="0">
                  <c:v>Smågris</c:v>
                </c:pt>
                <c:pt idx="1">
                  <c:v>Foderforbrug</c:v>
                </c:pt>
                <c:pt idx="2">
                  <c:v>Energi</c:v>
                </c:pt>
                <c:pt idx="3">
                  <c:v>Fordøjelse </c:v>
                </c:pt>
                <c:pt idx="4">
                  <c:v>Stald og gylleopbevaring (gødninmgsproduktion)</c:v>
                </c:pt>
                <c:pt idx="5">
                  <c:v>#REFERENCE!</c:v>
                </c:pt>
                <c:pt idx="6">
                  <c:v>Strøelse + diverse</c:v>
                </c:pt>
                <c:pt idx="7">
                  <c:v>Miljøteknologi</c:v>
                </c:pt>
                <c:pt idx="8">
                  <c:v>Gylle håndtering</c:v>
                </c:pt>
                <c:pt idx="9">
                  <c:v>Biogas metan -emissioner</c:v>
                </c:pt>
              </c:strCache>
            </c:strRef>
          </c:tx>
          <c:spPr>
            <a:solidFill>
              <a:schemeClr val="accent6"/>
            </a:solidFill>
            <a:ln>
              <a:noFill/>
            </a:ln>
            <a:effectLst/>
          </c:spPr>
          <c:invertIfNegative val="0"/>
          <c:dPt>
            <c:idx val="1"/>
            <c:invertIfNegative val="0"/>
            <c:bubble3D val="0"/>
            <c:spPr>
              <a:solidFill>
                <a:schemeClr val="tx2">
                  <a:lumMod val="75000"/>
                  <a:lumOff val="25000"/>
                </a:schemeClr>
              </a:solidFill>
              <a:ln>
                <a:noFill/>
              </a:ln>
              <a:effectLst/>
            </c:spPr>
            <c:extLst>
              <c:ext xmlns:c16="http://schemas.microsoft.com/office/drawing/2014/chart" uri="{C3380CC4-5D6E-409C-BE32-E72D297353CC}">
                <c16:uniqueId val="{00000002-5751-452B-A930-D9F6F480B689}"/>
              </c:ext>
            </c:extLst>
          </c:dPt>
          <c:cat>
            <c:strRef>
              <c:extLst>
                <c:ext xmlns:c15="http://schemas.microsoft.com/office/drawing/2012/chart" uri="{02D57815-91ED-43cb-92C2-25804820EDAC}">
                  <c15:fullRef>
                    <c15:sqref>'Klima på slagtegrisen'!$B$4:$B$13</c15:sqref>
                  </c15:fullRef>
                </c:ext>
              </c:extLst>
              <c:f>('Klima på slagtegrisen'!$B$4:$B$5,'Klima på slagtegrisen'!$B$9,'Klima på slagtegrisen'!$B$11:$B$13)</c:f>
              <c:strCache>
                <c:ptCount val="5"/>
                <c:pt idx="0">
                  <c:v>Smågris</c:v>
                </c:pt>
                <c:pt idx="1">
                  <c:v>Foderforbrug</c:v>
                </c:pt>
                <c:pt idx="2">
                  <c:v>Miljøteknologi</c:v>
                </c:pt>
                <c:pt idx="3">
                  <c:v>Gylle håndtering</c:v>
                </c:pt>
                <c:pt idx="4">
                  <c:v>Biogas metan -emissioner</c:v>
                </c:pt>
              </c:strCache>
            </c:strRef>
          </c:cat>
          <c:val>
            <c:numRef>
              <c:extLst>
                <c:ext xmlns:c15="http://schemas.microsoft.com/office/drawing/2012/chart" uri="{02D57815-91ED-43cb-92C2-25804820EDAC}">
                  <c15:fullRef>
                    <c15:sqref>'Klima på slagtegrisen'!$C$4:$C$13</c15:sqref>
                  </c15:fullRef>
                </c:ext>
              </c:extLst>
              <c:f>('Klima på slagtegrisen'!$C$4:$C$5,'Klima på slagtegrisen'!$C$9,'Klima på slagtegrisen'!$C$11:$C$13)</c:f>
              <c:numCache>
                <c:formatCode>0.0</c:formatCode>
                <c:ptCount val="5"/>
                <c:pt idx="0">
                  <c:v>99.987800000000007</c:v>
                </c:pt>
                <c:pt idx="1">
                  <c:v>118.87357443777913</c:v>
                </c:pt>
                <c:pt idx="2">
                  <c:v>0</c:v>
                </c:pt>
                <c:pt idx="3">
                  <c:v>0</c:v>
                </c:pt>
                <c:pt idx="4">
                  <c:v>0</c:v>
                </c:pt>
              </c:numCache>
            </c:numRef>
          </c:val>
          <c:extLst>
            <c:ext xmlns:c16="http://schemas.microsoft.com/office/drawing/2014/chart" uri="{C3380CC4-5D6E-409C-BE32-E72D297353CC}">
              <c16:uniqueId val="{00000008-DF84-4487-8C64-3F33A4D593C8}"/>
            </c:ext>
          </c:extLst>
        </c:ser>
        <c:ser>
          <c:idx val="1"/>
          <c:order val="1"/>
          <c:tx>
            <c:v>NORM</c:v>
          </c:tx>
          <c:spPr>
            <a:solidFill>
              <a:schemeClr val="accent2"/>
            </a:solidFill>
            <a:ln>
              <a:noFill/>
            </a:ln>
            <a:effectLst/>
          </c:spPr>
          <c:invertIfNegative val="0"/>
          <c:cat>
            <c:strLit>
              <c:ptCount val="5"/>
              <c:pt idx="0">
                <c:v>Smågris</c:v>
              </c:pt>
              <c:pt idx="1">
                <c:v>Foderforbrug</c:v>
              </c:pt>
              <c:pt idx="2">
                <c:v>Miljøteknologi</c:v>
              </c:pt>
              <c:pt idx="3">
                <c:v>Gylle håndtering</c:v>
              </c:pt>
              <c:pt idx="4">
                <c:v>Biogas metan -emissioner</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'Klima på slagtegrisen'!$H$4:$H$13</c15:sqref>
                  </c15:fullRef>
                </c:ext>
              </c:extLst>
              <c:f>('Klima på slagtegrisen'!$H$4:$H$5,'Klima på slagtegrisen'!$H$9,'Klima på slagtegrisen'!$H$11:$H$13)</c:f>
              <c:numCache>
                <c:formatCode>0.0</c:formatCode>
                <c:ptCount val="5"/>
                <c:pt idx="0">
                  <c:v>100</c:v>
                </c:pt>
                <c:pt idx="1">
                  <c:v>118.87357443777913</c:v>
                </c:pt>
                <c:pt idx="2">
                  <c:v>0</c:v>
                </c:pt>
                <c:pt idx="3">
                  <c:v>0</c:v>
                </c:pt>
                <c:pt idx="4">
                  <c:v>0</c:v>
                </c:pt>
              </c:numCache>
            </c:numRef>
          </c:val>
          <c:extLst>
            <c:ext xmlns:c16="http://schemas.microsoft.com/office/drawing/2014/chart" uri="{C3380CC4-5D6E-409C-BE32-E72D297353CC}">
              <c16:uniqueId val="{00000003-6389-4A41-B459-6F7BE74F93DB}"/>
            </c:ext>
          </c:extLst>
        </c:ser>
        <c:dLbls>
          <c:showLegendKey val="0"/>
          <c:showVal val="0"/>
          <c:showCatName val="0"/>
          <c:showSerName val="0"/>
          <c:showPercent val="0"/>
          <c:showBubbleSize val="0"/>
        </c:dLbls>
        <c:gapWidth val="50"/>
        <c:overlap val="-27"/>
        <c:axId val="584269152"/>
        <c:axId val="584269808"/>
      </c:barChart>
      <c:dateAx>
        <c:axId val="584269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a-DK"/>
          </a:p>
        </c:txPr>
        <c:crossAx val="584269808"/>
        <c:crosses val="autoZero"/>
        <c:auto val="0"/>
        <c:lblOffset val="100"/>
        <c:baseTimeUnit val="days"/>
      </c:dateAx>
      <c:valAx>
        <c:axId val="584269808"/>
        <c:scaling>
          <c:orientation val="minMax"/>
          <c:max val="140"/>
          <c:min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kg CO2e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crossAx val="584269152"/>
        <c:crosses val="autoZero"/>
        <c:crossBetween val="between"/>
      </c:valAx>
      <c:spPr>
        <a:noFill/>
        <a:ln>
          <a:noFill/>
        </a:ln>
        <a:effectLst/>
      </c:spPr>
    </c:plotArea>
    <c:legend>
      <c:legendPos val="t"/>
      <c:legendEntry>
        <c:idx val="0"/>
        <c:delete val="1"/>
      </c:legendEntry>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r>
              <a:rPr lang="da-DK" sz="2000" b="1">
                <a:solidFill>
                  <a:sysClr val="windowText" lastClr="000000"/>
                </a:solidFill>
              </a:rPr>
              <a:t>Fordeling af klimaaftryk per slagtesvin (2)</a:t>
            </a:r>
          </a:p>
        </c:rich>
      </c:tx>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'Produktionsdata input'!$C$79</c:f>
              <c:strCache>
                <c:ptCount val="1"/>
                <c:pt idx="0">
                  <c:v>100,00%</c:v>
                </c:pt>
              </c:strCache>
            </c:strRef>
          </c:tx>
          <c:spPr>
            <a:solidFill>
              <a:schemeClr val="accent6"/>
            </a:solidFill>
            <a:ln>
              <a:noFill/>
            </a:ln>
            <a:effectLst/>
          </c:spPr>
          <c:invertIfNegative val="0"/>
          <c:dPt>
            <c:idx val="1"/>
            <c:invertIfNegative val="0"/>
            <c:bubble3D val="0"/>
            <c:spPr>
              <a:solidFill>
                <a:schemeClr val="tx2">
                  <a:lumMod val="75000"/>
                  <a:lumOff val="25000"/>
                </a:schemeClr>
              </a:solidFill>
              <a:ln>
                <a:noFill/>
              </a:ln>
              <a:effectLst/>
            </c:spPr>
            <c:extLst>
              <c:ext xmlns:c16="http://schemas.microsoft.com/office/drawing/2014/chart" uri="{C3380CC4-5D6E-409C-BE32-E72D297353CC}">
                <c16:uniqueId val="{00000001-4D7F-45B3-9FBA-4A4D4ABD4DF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'Klima på slagtegrisen'!$B$4:$B$13</c15:sqref>
                  </c15:fullRef>
                </c:ext>
              </c:extLst>
              <c:f>('Klima på slagtegrisen'!$B$4:$B$5,'Klima på slagtegrisen'!$B$9,'Klima på slagtegrisen'!$B$11,'Klima på slagtegrisen'!$B$13)</c:f>
              <c:strCache>
                <c:ptCount val="4"/>
                <c:pt idx="0">
                  <c:v>Smågris</c:v>
                </c:pt>
                <c:pt idx="1">
                  <c:v>Foderforbrug</c:v>
                </c:pt>
                <c:pt idx="2">
                  <c:v>Miljøteknologi</c:v>
                </c:pt>
                <c:pt idx="3">
                  <c:v>Biogas metan -emissioner</c:v>
                </c:pt>
              </c:strCache>
            </c:strRef>
          </c:cat>
          <c:val>
            <c:numRef>
              <c:extLst>
                <c:ext xmlns:c15="http://schemas.microsoft.com/office/drawing/2012/chart" uri="{02D57815-91ED-43cb-92C2-25804820EDAC}">
                  <c15:fullRef>
                    <c15:sqref>'Klima på slagtegrisen'!$D$4:$D$13</c15:sqref>
                  </c15:fullRef>
                </c:ext>
              </c:extLst>
              <c:f>('Klima på slagtegrisen'!$D$4:$D$5,'Klima på slagtegrisen'!$D$9,'Klima på slagtegrisen'!$D$11,'Klima på slagtegrisen'!$D$13)</c:f>
              <c:numCache>
                <c:formatCode>0.0</c:formatCode>
                <c:ptCount val="4"/>
                <c:pt idx="0">
                  <c:v>99.987800000000007</c:v>
                </c:pt>
                <c:pt idx="1">
                  <c:v>118.87357443777913</c:v>
                </c:pt>
                <c:pt idx="2">
                  <c:v>0</c:v>
                </c:pt>
                <c:pt idx="3">
                  <c:v>0</c:v>
                </c:pt>
              </c:numCache>
            </c:numRef>
          </c:val>
          <c:extLst>
            <c:ext xmlns:c16="http://schemas.microsoft.com/office/drawing/2014/chart" uri="{C3380CC4-5D6E-409C-BE32-E72D297353CC}">
              <c16:uniqueId val="{00000000-4DA1-4781-8A57-27C34F780726}"/>
            </c:ext>
          </c:extLst>
        </c:ser>
        <c:ser>
          <c:idx val="1"/>
          <c:order val="1"/>
          <c:tx>
            <c:v>NORM</c:v>
          </c:tx>
          <c:spPr>
            <a:solidFill>
              <a:schemeClr val="accent2"/>
            </a:solidFill>
            <a:ln>
              <a:noFill/>
            </a:ln>
            <a:effectLst/>
          </c:spPr>
          <c:invertIfNegative val="0"/>
          <c:cat>
            <c:strLit>
              <c:ptCount val="4"/>
              <c:pt idx="0">
                <c:v>Smågris</c:v>
              </c:pt>
              <c:pt idx="1">
                <c:v>Foderforbrug</c:v>
              </c:pt>
              <c:pt idx="2">
                <c:v>Miljøteknologi</c:v>
              </c:pt>
              <c:pt idx="3">
                <c:v>Biogas metan -emissioner</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'Klima på slagtegrisen'!$H$4:$H$13</c15:sqref>
                  </c15:fullRef>
                </c:ext>
              </c:extLst>
              <c:f>('Klima på slagtegrisen'!$H$4:$H$5,'Klima på slagtegrisen'!$H$9,'Klima på slagtegrisen'!$H$11,'Klima på slagtegrisen'!$H$13)</c:f>
              <c:numCache>
                <c:formatCode>0.0</c:formatCode>
                <c:ptCount val="4"/>
                <c:pt idx="0">
                  <c:v>100</c:v>
                </c:pt>
                <c:pt idx="1">
                  <c:v>118.87357443777913</c:v>
                </c:pt>
                <c:pt idx="2">
                  <c:v>0</c:v>
                </c:pt>
                <c:pt idx="3">
                  <c:v>0</c:v>
                </c:pt>
              </c:numCache>
            </c:numRef>
          </c:val>
          <c:extLst>
            <c:ext xmlns:c16="http://schemas.microsoft.com/office/drawing/2014/chart" uri="{C3380CC4-5D6E-409C-BE32-E72D297353CC}">
              <c16:uniqueId val="{00000001-6B8D-42E8-BB04-BC2E4875BD2C}"/>
            </c:ext>
          </c:extLst>
        </c:ser>
        <c:dLbls>
          <c:showLegendKey val="0"/>
          <c:showVal val="0"/>
          <c:showCatName val="0"/>
          <c:showSerName val="0"/>
          <c:showPercent val="0"/>
          <c:showBubbleSize val="0"/>
        </c:dLbls>
        <c:gapWidth val="50"/>
        <c:overlap val="-27"/>
        <c:axId val="584269152"/>
        <c:axId val="584269808"/>
      </c:barChart>
      <c:catAx>
        <c:axId val="584269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a-DK"/>
          </a:p>
        </c:txPr>
        <c:crossAx val="584269808"/>
        <c:crosses val="autoZero"/>
        <c:auto val="1"/>
        <c:lblAlgn val="ctr"/>
        <c:lblOffset val="100"/>
        <c:noMultiLvlLbl val="0"/>
      </c:catAx>
      <c:valAx>
        <c:axId val="584269808"/>
        <c:scaling>
          <c:orientation val="minMax"/>
          <c:max val="140"/>
          <c:min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kg CO2e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crossAx val="584269152"/>
        <c:crosses val="autoZero"/>
        <c:crossBetween val="between"/>
      </c:valAx>
      <c:spPr>
        <a:noFill/>
        <a:ln>
          <a:noFill/>
        </a:ln>
        <a:effectLst/>
      </c:spPr>
    </c:plotArea>
    <c:legend>
      <c:legendPos val="t"/>
      <c:legendEntry>
        <c:idx val="0"/>
        <c:delete val="1"/>
      </c:legendEntry>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r>
              <a:rPr lang="da-DK" sz="2000" b="1">
                <a:solidFill>
                  <a:sysClr val="windowText" lastClr="000000"/>
                </a:solidFill>
              </a:rPr>
              <a:t>Fordeling af klimaaftryk per slagtesvin (3)</a:t>
            </a:r>
          </a:p>
        </c:rich>
      </c:tx>
      <c:layout>
        <c:manualLayout>
          <c:xMode val="edge"/>
          <c:yMode val="edge"/>
          <c:x val="0.16030837756565339"/>
          <c:y val="2.2593067426963907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'Klima på slagtegrisen'!$B$4:$B$13</c:f>
              <c:strCache>
                <c:ptCount val="10"/>
                <c:pt idx="0">
                  <c:v>Smågris</c:v>
                </c:pt>
                <c:pt idx="1">
                  <c:v>Foderforbrug</c:v>
                </c:pt>
                <c:pt idx="2">
                  <c:v>Energi</c:v>
                </c:pt>
                <c:pt idx="3">
                  <c:v>Fordøjelse </c:v>
                </c:pt>
                <c:pt idx="4">
                  <c:v>Stald og gylleopbevaring (gødninmgsproduktion)</c:v>
                </c:pt>
                <c:pt idx="5">
                  <c:v>#REFERENCE!</c:v>
                </c:pt>
                <c:pt idx="6">
                  <c:v>Strøelse + diverse</c:v>
                </c:pt>
                <c:pt idx="7">
                  <c:v>Miljøteknologi</c:v>
                </c:pt>
                <c:pt idx="8">
                  <c:v>Gylle håndtering</c:v>
                </c:pt>
                <c:pt idx="9">
                  <c:v>Biogas metan -emissioner</c:v>
                </c:pt>
              </c:strCache>
            </c:strRef>
          </c:tx>
          <c:spPr>
            <a:solidFill>
              <a:schemeClr val="tx2">
                <a:lumMod val="75000"/>
                <a:lumOff val="25000"/>
              </a:schemeClr>
            </a:solidFill>
            <a:ln>
              <a:noFill/>
            </a:ln>
            <a:effectLst/>
          </c:spPr>
          <c:invertIfNegative val="0"/>
          <c:dPt>
            <c:idx val="0"/>
            <c:invertIfNegative val="0"/>
            <c:bubble3D val="0"/>
            <c:spPr>
              <a:solidFill>
                <a:schemeClr val="accent6"/>
              </a:solidFill>
              <a:ln>
                <a:noFill/>
              </a:ln>
              <a:effectLst/>
            </c:spPr>
            <c:extLst>
              <c:ext xmlns:c16="http://schemas.microsoft.com/office/drawing/2014/chart" uri="{C3380CC4-5D6E-409C-BE32-E72D297353CC}">
                <c16:uniqueId val="{00000002-D058-4746-BCD7-6BE5CB27F0FE}"/>
              </c:ext>
            </c:extLst>
          </c:dPt>
          <c:cat>
            <c:strRef>
              <c:extLst>
                <c:ext xmlns:c15="http://schemas.microsoft.com/office/drawing/2012/chart" uri="{02D57815-91ED-43cb-92C2-25804820EDAC}">
                  <c15:fullRef>
                    <c15:sqref>'Klima på slagtegrisen'!$B$4:$B$13</c15:sqref>
                  </c15:fullRef>
                </c:ext>
              </c:extLst>
              <c:f>('Klima på slagtegrisen'!$B$4:$B$5,'Klima på slagtegrisen'!$B$9,'Klima på slagtegrisen'!$B$11:$B$13)</c:f>
              <c:strCache>
                <c:ptCount val="5"/>
                <c:pt idx="0">
                  <c:v>Smågris</c:v>
                </c:pt>
                <c:pt idx="1">
                  <c:v>Foderforbrug</c:v>
                </c:pt>
                <c:pt idx="2">
                  <c:v>Miljøteknologi</c:v>
                </c:pt>
                <c:pt idx="3">
                  <c:v>Gylle håndtering</c:v>
                </c:pt>
                <c:pt idx="4">
                  <c:v>Biogas metan -emissioner</c:v>
                </c:pt>
              </c:strCache>
            </c:strRef>
          </c:cat>
          <c:val>
            <c:numRef>
              <c:extLst>
                <c:ext xmlns:c15="http://schemas.microsoft.com/office/drawing/2012/chart" uri="{02D57815-91ED-43cb-92C2-25804820EDAC}">
                  <c15:fullRef>
                    <c15:sqref>'Klima på slagtegrisen'!$E$4:$E$13</c15:sqref>
                  </c15:fullRef>
                </c:ext>
              </c:extLst>
              <c:f>('Klima på slagtegrisen'!$E$4:$E$5,'Klima på slagtegrisen'!$E$9,'Klima på slagtegrisen'!$E$11:$E$13)</c:f>
              <c:numCache>
                <c:formatCode>0.0</c:formatCode>
                <c:ptCount val="5"/>
                <c:pt idx="0">
                  <c:v>99.987800000000007</c:v>
                </c:pt>
                <c:pt idx="1">
                  <c:v>118.87357443777913</c:v>
                </c:pt>
                <c:pt idx="2">
                  <c:v>0</c:v>
                </c:pt>
                <c:pt idx="3">
                  <c:v>0</c:v>
                </c:pt>
                <c:pt idx="4">
                  <c:v>0</c:v>
                </c:pt>
              </c:numCache>
            </c:numRef>
          </c:val>
          <c:extLst>
            <c:ext xmlns:c16="http://schemas.microsoft.com/office/drawing/2014/chart" uri="{C3380CC4-5D6E-409C-BE32-E72D297353CC}">
              <c16:uniqueId val="{00000000-12E5-4605-926A-A7B050D319C8}"/>
            </c:ext>
          </c:extLst>
        </c:ser>
        <c:ser>
          <c:idx val="1"/>
          <c:order val="1"/>
          <c:tx>
            <c:v>NORM</c:v>
          </c:tx>
          <c:spPr>
            <a:solidFill>
              <a:schemeClr val="accent2"/>
            </a:solidFill>
            <a:ln>
              <a:noFill/>
            </a:ln>
            <a:effectLst/>
          </c:spPr>
          <c:invertIfNegative val="0"/>
          <c:cat>
            <c:strLit>
              <c:ptCount val="5"/>
              <c:pt idx="0">
                <c:v>Smågris</c:v>
              </c:pt>
              <c:pt idx="1">
                <c:v>Foderforbrug</c:v>
              </c:pt>
              <c:pt idx="2">
                <c:v>Miljøteknologi</c:v>
              </c:pt>
              <c:pt idx="3">
                <c:v>Gylle håndtering</c:v>
              </c:pt>
              <c:pt idx="4">
                <c:v>Biogas metan -emissioner</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'Klima på slagtegrisen'!$H$4:$H$13</c15:sqref>
                  </c15:fullRef>
                </c:ext>
              </c:extLst>
              <c:f>('Klima på slagtegrisen'!$H$4:$H$5,'Klima på slagtegrisen'!$H$9,'Klima på slagtegrisen'!$H$11:$H$13)</c:f>
              <c:numCache>
                <c:formatCode>0.0</c:formatCode>
                <c:ptCount val="5"/>
                <c:pt idx="0">
                  <c:v>100</c:v>
                </c:pt>
                <c:pt idx="1">
                  <c:v>118.87357443777913</c:v>
                </c:pt>
                <c:pt idx="2">
                  <c:v>0</c:v>
                </c:pt>
                <c:pt idx="3">
                  <c:v>0</c:v>
                </c:pt>
                <c:pt idx="4">
                  <c:v>0</c:v>
                </c:pt>
              </c:numCache>
            </c:numRef>
          </c:val>
          <c:extLst>
            <c:ext xmlns:c16="http://schemas.microsoft.com/office/drawing/2014/chart" uri="{C3380CC4-5D6E-409C-BE32-E72D297353CC}">
              <c16:uniqueId val="{00000001-C0E3-4806-AB9F-7997A8341F07}"/>
            </c:ext>
          </c:extLst>
        </c:ser>
        <c:dLbls>
          <c:showLegendKey val="0"/>
          <c:showVal val="0"/>
          <c:showCatName val="0"/>
          <c:showSerName val="0"/>
          <c:showPercent val="0"/>
          <c:showBubbleSize val="0"/>
        </c:dLbls>
        <c:gapWidth val="50"/>
        <c:overlap val="-27"/>
        <c:axId val="584269152"/>
        <c:axId val="584269808"/>
      </c:barChart>
      <c:catAx>
        <c:axId val="584269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a-DK"/>
          </a:p>
        </c:txPr>
        <c:crossAx val="584269808"/>
        <c:crosses val="autoZero"/>
        <c:auto val="1"/>
        <c:lblAlgn val="ctr"/>
        <c:lblOffset val="100"/>
        <c:noMultiLvlLbl val="0"/>
      </c:catAx>
      <c:valAx>
        <c:axId val="584269808"/>
        <c:scaling>
          <c:orientation val="minMax"/>
          <c:max val="140"/>
          <c:min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kg CO2e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crossAx val="584269152"/>
        <c:crosses val="autoZero"/>
        <c:crossBetween val="between"/>
      </c:valAx>
      <c:spPr>
        <a:noFill/>
        <a:ln>
          <a:noFill/>
        </a:ln>
        <a:effectLst/>
      </c:spPr>
    </c:plotArea>
    <c:legend>
      <c:legendPos val="t"/>
      <c:legendEntry>
        <c:idx val="0"/>
        <c:delete val="1"/>
      </c:legendEntry>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19050" cap="flat" cmpd="sng" algn="ctr">
      <a:solidFill>
        <a:schemeClr val="tx1"/>
      </a:solidFill>
      <a:round/>
    </a:ln>
    <a:effectLst/>
  </c:spPr>
  <c:txPr>
    <a:bodyPr/>
    <a:lstStyle/>
    <a:p>
      <a:pPr>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r>
              <a:rPr lang="da-DK" sz="2000" b="1">
                <a:solidFill>
                  <a:sysClr val="windowText" lastClr="000000"/>
                </a:solidFill>
              </a:rPr>
              <a:t>Fordeling af klimaaftryk per slagtesvin (4) </a:t>
            </a:r>
          </a:p>
        </c:rich>
      </c:tx>
      <c:layout>
        <c:manualLayout>
          <c:xMode val="edge"/>
          <c:yMode val="edge"/>
          <c:x val="0.14186058851844505"/>
          <c:y val="5.0206816504364234E-3"/>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8210393537274208"/>
          <c:y val="0.16980540586852136"/>
          <c:w val="0.79888887690982058"/>
          <c:h val="0.59716055590201222"/>
        </c:manualLayout>
      </c:layout>
      <c:barChart>
        <c:barDir val="col"/>
        <c:grouping val="clustered"/>
        <c:varyColors val="0"/>
        <c:ser>
          <c:idx val="0"/>
          <c:order val="0"/>
          <c:tx>
            <c:strRef>
              <c:f>'Klima på slagtegrisen'!$B$4:$B$13</c:f>
              <c:strCache>
                <c:ptCount val="10"/>
                <c:pt idx="0">
                  <c:v>Smågris</c:v>
                </c:pt>
                <c:pt idx="1">
                  <c:v>Foderforbrug</c:v>
                </c:pt>
                <c:pt idx="2">
                  <c:v>Energi</c:v>
                </c:pt>
                <c:pt idx="3">
                  <c:v>Fordøjelse </c:v>
                </c:pt>
                <c:pt idx="4">
                  <c:v>Stald og gylleopbevaring (gødninmgsproduktion)</c:v>
                </c:pt>
                <c:pt idx="5">
                  <c:v>#REFERENCE!</c:v>
                </c:pt>
                <c:pt idx="6">
                  <c:v>Strøelse + diverse</c:v>
                </c:pt>
                <c:pt idx="7">
                  <c:v>Miljøteknologi</c:v>
                </c:pt>
                <c:pt idx="8">
                  <c:v>Gylle håndtering</c:v>
                </c:pt>
                <c:pt idx="9">
                  <c:v>Biogas metan -emissioner</c:v>
                </c:pt>
              </c:strCache>
            </c:strRef>
          </c:tx>
          <c:spPr>
            <a:solidFill>
              <a:schemeClr val="accent6"/>
            </a:solidFill>
            <a:ln>
              <a:noFill/>
            </a:ln>
            <a:effectLst/>
          </c:spPr>
          <c:invertIfNegative val="0"/>
          <c:dPt>
            <c:idx val="1"/>
            <c:invertIfNegative val="0"/>
            <c:bubble3D val="0"/>
            <c:spPr>
              <a:solidFill>
                <a:schemeClr val="tx2">
                  <a:lumMod val="75000"/>
                  <a:lumOff val="25000"/>
                </a:schemeClr>
              </a:solidFill>
              <a:ln>
                <a:noFill/>
              </a:ln>
              <a:effectLst/>
            </c:spPr>
            <c:extLst>
              <c:ext xmlns:c16="http://schemas.microsoft.com/office/drawing/2014/chart" uri="{C3380CC4-5D6E-409C-BE32-E72D297353CC}">
                <c16:uniqueId val="{00000002-9BB1-48DA-AC0C-74580642E398}"/>
              </c:ext>
            </c:extLst>
          </c:dPt>
          <c:cat>
            <c:strRef>
              <c:extLst>
                <c:ext xmlns:c15="http://schemas.microsoft.com/office/drawing/2012/chart" uri="{02D57815-91ED-43cb-92C2-25804820EDAC}">
                  <c15:fullRef>
                    <c15:sqref>'Klima på slagtegrisen'!$B$4:$B$13</c15:sqref>
                  </c15:fullRef>
                </c:ext>
              </c:extLst>
              <c:f>('Klima på slagtegrisen'!$B$4:$B$5,'Klima på slagtegrisen'!$B$9,'Klima på slagtegrisen'!$B$11,'Klima på slagtegrisen'!$B$13)</c:f>
              <c:strCache>
                <c:ptCount val="4"/>
                <c:pt idx="0">
                  <c:v>Smågris</c:v>
                </c:pt>
                <c:pt idx="1">
                  <c:v>Foderforbrug</c:v>
                </c:pt>
                <c:pt idx="2">
                  <c:v>Miljøteknologi</c:v>
                </c:pt>
                <c:pt idx="3">
                  <c:v>Biogas metan -emissioner</c:v>
                </c:pt>
              </c:strCache>
            </c:strRef>
          </c:cat>
          <c:val>
            <c:numRef>
              <c:extLst>
                <c:ext xmlns:c15="http://schemas.microsoft.com/office/drawing/2012/chart" uri="{02D57815-91ED-43cb-92C2-25804820EDAC}">
                  <c15:fullRef>
                    <c15:sqref>'Klima på slagtegrisen'!$F$4:$F$13</c15:sqref>
                  </c15:fullRef>
                </c:ext>
              </c:extLst>
              <c:f>('Klima på slagtegrisen'!$F$4:$F$5,'Klima på slagtegrisen'!$F$9,'Klima på slagtegrisen'!$F$11,'Klima på slagtegrisen'!$F$13)</c:f>
              <c:numCache>
                <c:formatCode>0.0</c:formatCode>
                <c:ptCount val="4"/>
                <c:pt idx="0">
                  <c:v>99.987800000000007</c:v>
                </c:pt>
                <c:pt idx="1">
                  <c:v>118.87357443777913</c:v>
                </c:pt>
                <c:pt idx="2">
                  <c:v>0</c:v>
                </c:pt>
                <c:pt idx="3">
                  <c:v>0</c:v>
                </c:pt>
              </c:numCache>
            </c:numRef>
          </c:val>
          <c:extLst>
            <c:ext xmlns:c16="http://schemas.microsoft.com/office/drawing/2014/chart" uri="{C3380CC4-5D6E-409C-BE32-E72D297353CC}">
              <c16:uniqueId val="{00000000-A950-46E5-8748-5C186A4DA840}"/>
            </c:ext>
          </c:extLst>
        </c:ser>
        <c:ser>
          <c:idx val="1"/>
          <c:order val="1"/>
          <c:tx>
            <c:v>NORM</c:v>
          </c:tx>
          <c:spPr>
            <a:solidFill>
              <a:schemeClr val="accent2"/>
            </a:solidFill>
            <a:ln>
              <a:noFill/>
            </a:ln>
            <a:effectLst/>
          </c:spPr>
          <c:invertIfNegative val="0"/>
          <c:cat>
            <c:strLit>
              <c:ptCount val="4"/>
              <c:pt idx="0">
                <c:v>Smågris</c:v>
              </c:pt>
              <c:pt idx="1">
                <c:v>Foderforbrug</c:v>
              </c:pt>
              <c:pt idx="2">
                <c:v>Miljøteknologi</c:v>
              </c:pt>
              <c:pt idx="3">
                <c:v>Biogas metan -emissioner</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'Klima på slagtegrisen'!$H$4:$H$13</c15:sqref>
                  </c15:fullRef>
                </c:ext>
              </c:extLst>
              <c:f>('Klima på slagtegrisen'!$H$4:$H$5,'Klima på slagtegrisen'!$H$9,'Klima på slagtegrisen'!$H$11,'Klima på slagtegrisen'!$H$13)</c:f>
              <c:numCache>
                <c:formatCode>0.0</c:formatCode>
                <c:ptCount val="4"/>
                <c:pt idx="0">
                  <c:v>100</c:v>
                </c:pt>
                <c:pt idx="1">
                  <c:v>118.87357443777913</c:v>
                </c:pt>
                <c:pt idx="2">
                  <c:v>0</c:v>
                </c:pt>
                <c:pt idx="3">
                  <c:v>0</c:v>
                </c:pt>
              </c:numCache>
            </c:numRef>
          </c:val>
          <c:extLst>
            <c:ext xmlns:c16="http://schemas.microsoft.com/office/drawing/2014/chart" uri="{C3380CC4-5D6E-409C-BE32-E72D297353CC}">
              <c16:uniqueId val="{00000001-E018-4FAF-97D4-887E237146CD}"/>
            </c:ext>
          </c:extLst>
        </c:ser>
        <c:dLbls>
          <c:showLegendKey val="0"/>
          <c:showVal val="0"/>
          <c:showCatName val="0"/>
          <c:showSerName val="0"/>
          <c:showPercent val="0"/>
          <c:showBubbleSize val="0"/>
        </c:dLbls>
        <c:gapWidth val="50"/>
        <c:overlap val="-27"/>
        <c:axId val="584269152"/>
        <c:axId val="584269808"/>
      </c:barChart>
      <c:catAx>
        <c:axId val="584269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a-DK"/>
          </a:p>
        </c:txPr>
        <c:crossAx val="584269808"/>
        <c:crosses val="autoZero"/>
        <c:auto val="1"/>
        <c:lblAlgn val="ctr"/>
        <c:lblOffset val="100"/>
        <c:noMultiLvlLbl val="0"/>
      </c:catAx>
      <c:valAx>
        <c:axId val="584269808"/>
        <c:scaling>
          <c:orientation val="minMax"/>
          <c:min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kg CO2e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crossAx val="584269152"/>
        <c:crosses val="autoZero"/>
        <c:crossBetween val="between"/>
      </c:valAx>
      <c:spPr>
        <a:noFill/>
        <a:ln>
          <a:noFill/>
        </a:ln>
        <a:effectLst/>
      </c:spPr>
    </c:plotArea>
    <c:legend>
      <c:legendPos val="t"/>
      <c:legendEntry>
        <c:idx val="0"/>
        <c:delete val="1"/>
      </c:legendEntry>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r">
              <a:defRPr sz="2000" b="1" i="0" u="none" strike="noStrike" kern="1200" spc="0" baseline="0">
                <a:solidFill>
                  <a:sysClr val="windowText" lastClr="000000"/>
                </a:solidFill>
                <a:latin typeface="+mn-lt"/>
                <a:ea typeface="+mn-ea"/>
                <a:cs typeface="+mn-cs"/>
              </a:defRPr>
            </a:pPr>
            <a:r>
              <a:rPr lang="da-DK" sz="2000" b="1">
                <a:solidFill>
                  <a:sysClr val="windowText" lastClr="000000"/>
                </a:solidFill>
              </a:rPr>
              <a:t>Fordeling af klimaaftryk per fravænnet gris</a:t>
            </a:r>
          </a:p>
        </c:rich>
      </c:tx>
      <c:layout>
        <c:manualLayout>
          <c:xMode val="edge"/>
          <c:yMode val="edge"/>
          <c:x val="0.24700316536990119"/>
          <c:y val="9.3333307203273576E-3"/>
        </c:manualLayout>
      </c:layout>
      <c:overlay val="0"/>
      <c:spPr>
        <a:noFill/>
        <a:ln>
          <a:noFill/>
        </a:ln>
        <a:effectLst/>
      </c:spPr>
      <c:txPr>
        <a:bodyPr rot="0" spcFirstLastPara="1" vertOverflow="ellipsis" vert="horz" wrap="square" anchor="ctr" anchorCtr="1"/>
        <a:lstStyle/>
        <a:p>
          <a:pPr algn="r">
            <a:defRPr sz="20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'Klima på smågrisen'!$B$4:$B$14</c:f>
              <c:strCache>
                <c:ptCount val="11"/>
                <c:pt idx="0">
                  <c:v>Smågris</c:v>
                </c:pt>
                <c:pt idx="1">
                  <c:v>Foder</c:v>
                </c:pt>
                <c:pt idx="2">
                  <c:v>Energi</c:v>
                </c:pt>
                <c:pt idx="3">
                  <c:v>Fordøjelse </c:v>
                </c:pt>
                <c:pt idx="4">
                  <c:v>Tillæg for polte</c:v>
                </c:pt>
                <c:pt idx="5">
                  <c:v>Stald og gylleopbevaring (gødninmgsproduktion)</c:v>
                </c:pt>
                <c:pt idx="6">
                  <c:v>#REFERENCE!</c:v>
                </c:pt>
                <c:pt idx="7">
                  <c:v>Strøelse + diverse</c:v>
                </c:pt>
                <c:pt idx="8">
                  <c:v>Miljøteknologi</c:v>
                </c:pt>
                <c:pt idx="9">
                  <c:v>Gylle håndtering</c:v>
                </c:pt>
                <c:pt idx="10">
                  <c:v>Biogas metan -emissioner</c:v>
                </c:pt>
              </c:strCache>
            </c:strRef>
          </c:tx>
          <c:spPr>
            <a:solidFill>
              <a:schemeClr val="accent6">
                <a:lumMod val="60000"/>
                <a:lumOff val="40000"/>
              </a:schemeClr>
            </a:solidFill>
            <a:ln>
              <a:noFill/>
            </a:ln>
            <a:effectLst/>
          </c:spPr>
          <c:invertIfNegative val="0"/>
          <c:cat>
            <c:strRef>
              <c:f>Beregningmotor!$B$27:$B$36</c:f>
              <c:strCache>
                <c:ptCount val="10"/>
                <c:pt idx="0">
                  <c:v>Smågris</c:v>
                </c:pt>
                <c:pt idx="1">
                  <c:v>Foderforbrug</c:v>
                </c:pt>
                <c:pt idx="2">
                  <c:v>Energi</c:v>
                </c:pt>
                <c:pt idx="3">
                  <c:v>Fordøjelse </c:v>
                </c:pt>
                <c:pt idx="4">
                  <c:v>Tillæg for polte</c:v>
                </c:pt>
                <c:pt idx="5">
                  <c:v>Stald og gylleopbevaring (gødninmgsproduktion)</c:v>
                </c:pt>
                <c:pt idx="6">
                  <c:v>Strøelse + diverse</c:v>
                </c:pt>
                <c:pt idx="7">
                  <c:v>Miljøteknologi</c:v>
                </c:pt>
                <c:pt idx="8">
                  <c:v>Gylle håndtering</c:v>
                </c:pt>
                <c:pt idx="9">
                  <c:v>Biogas metan -emissioner</c:v>
                </c:pt>
              </c:strCache>
            </c:strRef>
          </c:cat>
          <c:val>
            <c:numRef>
              <c:f>'Klima på smågrisen'!$C$4:$C$14</c:f>
              <c:numCache>
                <c:formatCode>0.0</c:formatCode>
                <c:ptCount val="10"/>
                <c:pt idx="0">
                  <c:v>0</c:v>
                </c:pt>
                <c:pt idx="1">
                  <c:v>21.683874377325886</c:v>
                </c:pt>
                <c:pt idx="2">
                  <c:v>3.4</c:v>
                </c:pt>
                <c:pt idx="3">
                  <c:v>2.1</c:v>
                </c:pt>
                <c:pt idx="4">
                  <c:v>2.2026666666666666</c:v>
                </c:pt>
                <c:pt idx="5">
                  <c:v>10.8</c:v>
                </c:pt>
                <c:pt idx="6">
                  <c:v>1</c:v>
                </c:pt>
                <c:pt idx="7">
                  <c:v>0</c:v>
                </c:pt>
                <c:pt idx="8">
                  <c:v>0</c:v>
                </c:pt>
                <c:pt idx="9">
                  <c:v>0</c:v>
                </c:pt>
              </c:numCache>
            </c:numRef>
          </c:val>
          <c:extLst>
            <c:ext xmlns:c16="http://schemas.microsoft.com/office/drawing/2014/chart" uri="{C3380CC4-5D6E-409C-BE32-E72D297353CC}">
              <c16:uniqueId val="{00000000-F296-45FC-A0CE-2711CEBD9AD2}"/>
            </c:ext>
          </c:extLst>
        </c:ser>
        <c:dLbls>
          <c:showLegendKey val="0"/>
          <c:showVal val="0"/>
          <c:showCatName val="0"/>
          <c:showSerName val="0"/>
          <c:showPercent val="0"/>
          <c:showBubbleSize val="0"/>
        </c:dLbls>
        <c:gapWidth val="50"/>
        <c:overlap val="-27"/>
        <c:axId val="584269152"/>
        <c:axId val="584269808"/>
      </c:barChart>
      <c:catAx>
        <c:axId val="584269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a-DK"/>
          </a:p>
        </c:txPr>
        <c:crossAx val="584269808"/>
        <c:crosses val="autoZero"/>
        <c:auto val="1"/>
        <c:lblAlgn val="ctr"/>
        <c:lblOffset val="100"/>
        <c:noMultiLvlLbl val="0"/>
      </c:catAx>
      <c:valAx>
        <c:axId val="584269808"/>
        <c:scaling>
          <c:orientation val="minMax"/>
          <c:max val="50"/>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kg CO2e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crossAx val="584269152"/>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r>
              <a:rPr lang="da-DK" sz="2000" b="1">
                <a:solidFill>
                  <a:sysClr val="windowText" lastClr="000000"/>
                </a:solidFill>
              </a:rPr>
              <a:t>Fordeling af klimaaftryk per smågrise</a:t>
            </a:r>
          </a:p>
        </c:rich>
      </c:tx>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'Klima på smågrisen'!$B$4:$B$14</c:f>
              <c:strCache>
                <c:ptCount val="11"/>
                <c:pt idx="0">
                  <c:v>Smågris</c:v>
                </c:pt>
                <c:pt idx="1">
                  <c:v>Foder</c:v>
                </c:pt>
                <c:pt idx="2">
                  <c:v>Energi</c:v>
                </c:pt>
                <c:pt idx="3">
                  <c:v>Fordøjelse </c:v>
                </c:pt>
                <c:pt idx="4">
                  <c:v>Tillæg for polte</c:v>
                </c:pt>
                <c:pt idx="5">
                  <c:v>Stald og gylleopbevaring (gødninmgsproduktion)</c:v>
                </c:pt>
                <c:pt idx="6">
                  <c:v>#REFERENCE!</c:v>
                </c:pt>
                <c:pt idx="7">
                  <c:v>Strøelse + diverse</c:v>
                </c:pt>
                <c:pt idx="8">
                  <c:v>Miljøteknologi</c:v>
                </c:pt>
                <c:pt idx="9">
                  <c:v>Gylle håndtering</c:v>
                </c:pt>
                <c:pt idx="10">
                  <c:v>Biogas metan -emissioner</c:v>
                </c:pt>
              </c:strCache>
            </c:strRef>
          </c:tx>
          <c:spPr>
            <a:solidFill>
              <a:schemeClr val="tx2">
                <a:lumMod val="75000"/>
                <a:lumOff val="25000"/>
              </a:schemeClr>
            </a:solidFill>
            <a:ln>
              <a:noFill/>
            </a:ln>
            <a:effectLst/>
          </c:spPr>
          <c:invertIfNegative val="0"/>
          <c:cat>
            <c:strRef>
              <c:extLst>
                <c:ext xmlns:c15="http://schemas.microsoft.com/office/drawing/2012/chart" uri="{02D57815-91ED-43cb-92C2-25804820EDAC}">
                  <c15:fullRef>
                    <c15:sqref>Beregningmotor!$B$27:$B$36</c15:sqref>
                  </c15:fullRef>
                </c:ext>
              </c:extLst>
              <c:f>(Beregningmotor!$B$27:$B$30,Beregningmotor!$B$32:$B$36)</c:f>
              <c:strCache>
                <c:ptCount val="9"/>
                <c:pt idx="0">
                  <c:v>Smågris</c:v>
                </c:pt>
                <c:pt idx="1">
                  <c:v>Foderforbrug</c:v>
                </c:pt>
                <c:pt idx="2">
                  <c:v>Energi</c:v>
                </c:pt>
                <c:pt idx="3">
                  <c:v>Fordøjelse </c:v>
                </c:pt>
                <c:pt idx="4">
                  <c:v>Stald og gylleopbevaring (gødninmgsproduktion)</c:v>
                </c:pt>
                <c:pt idx="5">
                  <c:v>Strøelse + diverse</c:v>
                </c:pt>
                <c:pt idx="6">
                  <c:v>Miljøteknologi</c:v>
                </c:pt>
                <c:pt idx="7">
                  <c:v>Gylle håndtering</c:v>
                </c:pt>
                <c:pt idx="8">
                  <c:v>Biogas metan -emissioner</c:v>
                </c:pt>
              </c:strCache>
            </c:strRef>
          </c:cat>
          <c:val>
            <c:numRef>
              <c:extLst>
                <c:ext xmlns:c15="http://schemas.microsoft.com/office/drawing/2012/chart" uri="{02D57815-91ED-43cb-92C2-25804820EDAC}">
                  <c15:fullRef>
                    <c15:sqref>'Klima på smågrisen'!$D$4:$D$14</c15:sqref>
                  </c15:fullRef>
                </c:ext>
              </c:extLst>
              <c:f>('Klima på smågrisen'!$D$4:$D$7,'Klima på smågrisen'!$D$9:$D$14)</c:f>
              <c:numCache>
                <c:formatCode>0.0</c:formatCode>
                <c:ptCount val="9"/>
                <c:pt idx="0">
                  <c:v>42.66925652157628</c:v>
                </c:pt>
                <c:pt idx="1">
                  <c:v>40.060130149525087</c:v>
                </c:pt>
                <c:pt idx="2">
                  <c:v>4.0999999999999996</c:v>
                </c:pt>
                <c:pt idx="3">
                  <c:v>1.9</c:v>
                </c:pt>
                <c:pt idx="4">
                  <c:v>8.1</c:v>
                </c:pt>
                <c:pt idx="5">
                  <c:v>5.6000000000000001E-2</c:v>
                </c:pt>
                <c:pt idx="6">
                  <c:v>0</c:v>
                </c:pt>
                <c:pt idx="7">
                  <c:v>0</c:v>
                </c:pt>
                <c:pt idx="8">
                  <c:v>0</c:v>
                </c:pt>
              </c:numCache>
            </c:numRef>
          </c:val>
          <c:extLst>
            <c:ext xmlns:c16="http://schemas.microsoft.com/office/drawing/2014/chart" uri="{C3380CC4-5D6E-409C-BE32-E72D297353CC}">
              <c16:uniqueId val="{00000000-5A77-4105-AFFB-0E870318FB1B}"/>
            </c:ext>
          </c:extLst>
        </c:ser>
        <c:dLbls>
          <c:showLegendKey val="0"/>
          <c:showVal val="0"/>
          <c:showCatName val="0"/>
          <c:showSerName val="0"/>
          <c:showPercent val="0"/>
          <c:showBubbleSize val="0"/>
        </c:dLbls>
        <c:gapWidth val="50"/>
        <c:overlap val="-27"/>
        <c:axId val="584269152"/>
        <c:axId val="584269808"/>
      </c:barChart>
      <c:catAx>
        <c:axId val="584269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a-DK"/>
          </a:p>
        </c:txPr>
        <c:crossAx val="584269808"/>
        <c:crosses val="autoZero"/>
        <c:auto val="1"/>
        <c:lblAlgn val="ctr"/>
        <c:lblOffset val="100"/>
        <c:noMultiLvlLbl val="0"/>
      </c:catAx>
      <c:valAx>
        <c:axId val="584269808"/>
        <c:scaling>
          <c:orientation val="minMax"/>
          <c:max val="60"/>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kg CO2e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crossAx val="584269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hyperlink" Target="https://www.google.com/imgres?imgurl=https://cdn.maskinbladet.dk/assets/imagecache/960xAUTO/article/ww353495_2.jpg.crop_display.jpg&amp;imgrefurl=https://www.maskinbladet.dk/politik-erhverv/artikel/64797-danish-crown-med-nyt-loto&amp;docid=KzBnNfdu_2JFCM&amp;tbnid=3L7ZMh7fLvc0pM:&amp;vet=10ahUKEwje0-_U8J_nAhUEt4sKHUBKC4QQMwhUKAYwBg..i&amp;w=960&amp;h=521&amp;bih=591&amp;biw=971&amp;q=danish%20crown%20logo&amp;ved=0ahUKEwje0-_U8J_nAhUEt4sKHUBKC4QQMwhUKAYwBg&amp;iact=mrc&amp;uact=8"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57150</xdr:rowOff>
    </xdr:from>
    <xdr:to>
      <xdr:col>8</xdr:col>
      <xdr:colOff>9525</xdr:colOff>
      <xdr:row>29</xdr:row>
      <xdr:rowOff>9524</xdr:rowOff>
    </xdr:to>
    <xdr:sp macro="" textlink="">
      <xdr:nvSpPr>
        <xdr:cNvPr id="2" name="Tekstfelt 1">
          <a:extLst>
            <a:ext uri="{FF2B5EF4-FFF2-40B4-BE49-F238E27FC236}">
              <a16:creationId xmlns:a16="http://schemas.microsoft.com/office/drawing/2014/main" id="{C9DA6B7D-38E4-46F1-9F98-B03BD7F5425D}"/>
            </a:ext>
          </a:extLst>
        </xdr:cNvPr>
        <xdr:cNvSpPr txBox="1"/>
      </xdr:nvSpPr>
      <xdr:spPr>
        <a:xfrm>
          <a:off x="0" y="685800"/>
          <a:ext cx="5495925" cy="5372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Med dette program kan du hurtigt få overblik over klimaaftrykket på dine grise. Inddaterings- kravet er begrænset til det absolut nødvendige og beregningerne af grisens klimaaftryk er derfor ikke fuldstændig dækkende. </a:t>
          </a: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ysClr val="windowText" lastClr="000000"/>
              </a:solidFill>
            </a:rPr>
            <a:t>Når du bruger programmet skal du indtaste de bedriftsspecifikke data, som er nødvendige for, at der kan beregnes et klimaaftryk på grisen. For hver CHR nr. skal der indtastes data om produktivitet, foderreceptternes sammensætning samt miljøteknologi.</a:t>
          </a: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ysClr val="windowText" lastClr="000000"/>
              </a:solidFill>
            </a:rPr>
            <a:t>Klimaberegningerne bør baseres på et helt års produktion, f.eks. 2020. Hvis man blot tager et kvartal, får man tilfældige klimaresultater, der svinger i takt med udsvingene i produktiviteten. </a:t>
          </a:r>
        </a:p>
        <a:p>
          <a:pPr marL="0" marR="0" lvl="0" indent="0" defTabSz="914400" eaLnBrk="1" fontAlgn="auto" latinLnBrk="0" hangingPunct="1">
            <a:lnSpc>
              <a:spcPct val="100000"/>
            </a:lnSpc>
            <a:spcBef>
              <a:spcPts val="0"/>
            </a:spcBef>
            <a:spcAft>
              <a:spcPts val="0"/>
            </a:spcAft>
            <a:buClrTx/>
            <a:buSzTx/>
            <a:buFontTx/>
            <a:buNone/>
            <a:tabLst/>
            <a:defRPr/>
          </a:pPr>
          <a:endParaRPr lang="da-DK"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ysClr val="windowText" lastClr="000000"/>
              </a:solidFill>
              <a:effectLst/>
              <a:latin typeface="+mn-lt"/>
              <a:ea typeface="+mn-ea"/>
              <a:cs typeface="+mn-cs"/>
            </a:rPr>
            <a:t>Hvis du har flere CHR nr. med grise end programmet kan håndtere, må du desværre gentage indtastningen i en ny version. Hvis der anvendes flere foderrecepter end 2, kan der suppleres med standardfoderblandinger eller du indtaster de 2</a:t>
          </a:r>
          <a:r>
            <a:rPr lang="da-DK" sz="1100" baseline="0">
              <a:solidFill>
                <a:sysClr val="windowText" lastClr="000000"/>
              </a:solidFill>
              <a:effectLst/>
              <a:latin typeface="+mn-lt"/>
              <a:ea typeface="+mn-ea"/>
              <a:cs typeface="+mn-cs"/>
            </a:rPr>
            <a:t> foderblandinger, der er brugt mest af. </a:t>
          </a:r>
          <a:r>
            <a:rPr lang="da-DK" sz="1100">
              <a:solidFill>
                <a:sysClr val="windowText" lastClr="000000"/>
              </a:solidFill>
              <a:effectLst/>
              <a:latin typeface="+mn-lt"/>
              <a:ea typeface="+mn-ea"/>
              <a:cs typeface="+mn-cs"/>
            </a:rPr>
            <a:t>Programmet indeholder ikke databaser, så det er ikke muligt at lagre data centralt for at se udvikling over tid. </a:t>
          </a: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ysClr val="windowText" lastClr="000000"/>
              </a:solidFill>
              <a:effectLst/>
              <a:latin typeface="+mn-lt"/>
              <a:ea typeface="+mn-ea"/>
              <a:cs typeface="+mn-cs"/>
            </a:rPr>
            <a:t>Du er derfor henvist til at gemme resultatet på din egen PC. Så kan du senere sammenligne resultaterne for 2020 med 2021 osv. </a:t>
          </a:r>
          <a:endParaRPr lang="da-DK" sz="1100">
            <a:solidFill>
              <a:sysClr val="windowText" lastClr="000000"/>
            </a:solidFill>
          </a:endParaRPr>
        </a:p>
        <a:p>
          <a:endParaRPr lang="da-DK" sz="1100" baseline="0">
            <a:solidFill>
              <a:sysClr val="windowText" lastClr="000000"/>
            </a:solidFill>
          </a:endParaRPr>
        </a:p>
        <a:p>
          <a:r>
            <a:rPr lang="da-DK" sz="1100" baseline="0">
              <a:solidFill>
                <a:sysClr val="windowText" lastClr="000000"/>
              </a:solidFill>
            </a:rPr>
            <a:t>Resultatet af beregningerne vises på fanen "Klima på slagtegrisen" samt "Klima på smågrisen". Klimaberegningerne er suppleret med en række analyser, der viser, hvor dine resultater ligger i forhold til dansk gennemsnit uden miljøteknologi. Analyserne viser også, hvor der er potentiale for forbedringer. </a:t>
          </a:r>
        </a:p>
        <a:p>
          <a:endParaRPr lang="da-DK" sz="1100" baseline="0">
            <a:solidFill>
              <a:sysClr val="windowText" lastClr="000000"/>
            </a:solidFill>
          </a:endParaRPr>
        </a:p>
        <a:p>
          <a:r>
            <a:rPr lang="da-DK" sz="1400" b="1" baseline="0">
              <a:solidFill>
                <a:sysClr val="windowText" lastClr="000000"/>
              </a:solidFill>
            </a:rPr>
            <a:t>Ansvarsfraskrivelse:</a:t>
          </a:r>
        </a:p>
        <a:p>
          <a:r>
            <a:rPr lang="da-DK" sz="1200" baseline="0">
              <a:solidFill>
                <a:sysClr val="windowText" lastClr="000000"/>
              </a:solidFill>
            </a:rPr>
            <a:t>Du er selv ansvarlig for brugen af værktøjet. SEGES Svineproduktion tager ikke noget ansvar for de beregnede klimaaftryk. </a:t>
          </a:r>
        </a:p>
        <a:p>
          <a:r>
            <a:rPr lang="da-DK" sz="1200">
              <a:solidFill>
                <a:schemeClr val="dk1"/>
              </a:solidFill>
              <a:effectLst/>
              <a:latin typeface="+mn-lt"/>
              <a:ea typeface="+mn-ea"/>
              <a:cs typeface="+mn-cs"/>
            </a:rPr>
            <a:t>Resultatet er indikativ da der er anvendt en indirekte regnemetode, og kan derfor ikke anvendes til markedsføring af grisens klimaaftryk.</a:t>
          </a:r>
          <a:endParaRPr lang="da-DK" sz="1100" baseline="0">
            <a:solidFill>
              <a:sysClr val="windowText" lastClr="000000"/>
            </a:solidFill>
          </a:endParaRPr>
        </a:p>
      </xdr:txBody>
    </xdr:sp>
    <xdr:clientData/>
  </xdr:twoCellAnchor>
  <xdr:twoCellAnchor editAs="oneCell">
    <xdr:from>
      <xdr:col>0</xdr:col>
      <xdr:colOff>9525</xdr:colOff>
      <xdr:row>29</xdr:row>
      <xdr:rowOff>685800</xdr:rowOff>
    </xdr:from>
    <xdr:to>
      <xdr:col>4</xdr:col>
      <xdr:colOff>19049</xdr:colOff>
      <xdr:row>40</xdr:row>
      <xdr:rowOff>200025</xdr:rowOff>
    </xdr:to>
    <xdr:pic>
      <xdr:nvPicPr>
        <xdr:cNvPr id="4" name="Billede 3">
          <a:extLst>
            <a:ext uri="{FF2B5EF4-FFF2-40B4-BE49-F238E27FC236}">
              <a16:creationId xmlns:a16="http://schemas.microsoft.com/office/drawing/2014/main" id="{56DEAF38-8156-434E-A59C-09CC30842073}"/>
            </a:ext>
          </a:extLst>
        </xdr:cNvPr>
        <xdr:cNvPicPr>
          <a:picLocks noChangeAspect="1"/>
        </xdr:cNvPicPr>
      </xdr:nvPicPr>
      <xdr:blipFill>
        <a:blip xmlns:r="http://schemas.openxmlformats.org/officeDocument/2006/relationships" r:embed="rId1"/>
        <a:stretch>
          <a:fillRect/>
        </a:stretch>
      </xdr:blipFill>
      <xdr:spPr>
        <a:xfrm>
          <a:off x="9525" y="6734175"/>
          <a:ext cx="2752724" cy="2343150"/>
        </a:xfrm>
        <a:prstGeom prst="rect">
          <a:avLst/>
        </a:prstGeom>
      </xdr:spPr>
    </xdr:pic>
    <xdr:clientData/>
  </xdr:twoCellAnchor>
  <xdr:twoCellAnchor editAs="oneCell">
    <xdr:from>
      <xdr:col>0</xdr:col>
      <xdr:colOff>0</xdr:colOff>
      <xdr:row>41</xdr:row>
      <xdr:rowOff>88900</xdr:rowOff>
    </xdr:from>
    <xdr:to>
      <xdr:col>10</xdr:col>
      <xdr:colOff>9524</xdr:colOff>
      <xdr:row>46</xdr:row>
      <xdr:rowOff>41275</xdr:rowOff>
    </xdr:to>
    <xdr:pic>
      <xdr:nvPicPr>
        <xdr:cNvPr id="5" name="Billede 4">
          <a:extLst>
            <a:ext uri="{FF2B5EF4-FFF2-40B4-BE49-F238E27FC236}">
              <a16:creationId xmlns:a16="http://schemas.microsoft.com/office/drawing/2014/main" id="{E7E01F18-0FA1-45B1-86AE-1B561B28D5CE}"/>
            </a:ext>
          </a:extLst>
        </xdr:cNvPr>
        <xdr:cNvPicPr>
          <a:picLocks noChangeAspect="1"/>
        </xdr:cNvPicPr>
      </xdr:nvPicPr>
      <xdr:blipFill>
        <a:blip xmlns:r="http://schemas.openxmlformats.org/officeDocument/2006/relationships" r:embed="rId2"/>
        <a:stretch>
          <a:fillRect/>
        </a:stretch>
      </xdr:blipFill>
      <xdr:spPr>
        <a:xfrm>
          <a:off x="0" y="9048750"/>
          <a:ext cx="6664324" cy="936625"/>
        </a:xfrm>
        <a:prstGeom prst="rect">
          <a:avLst/>
        </a:prstGeom>
      </xdr:spPr>
    </xdr:pic>
    <xdr:clientData/>
  </xdr:twoCellAnchor>
  <xdr:twoCellAnchor>
    <xdr:from>
      <xdr:col>7</xdr:col>
      <xdr:colOff>215900</xdr:colOff>
      <xdr:row>46</xdr:row>
      <xdr:rowOff>165100</xdr:rowOff>
    </xdr:from>
    <xdr:to>
      <xdr:col>9</xdr:col>
      <xdr:colOff>476249</xdr:colOff>
      <xdr:row>48</xdr:row>
      <xdr:rowOff>165100</xdr:rowOff>
    </xdr:to>
    <xdr:sp macro="" textlink="">
      <xdr:nvSpPr>
        <xdr:cNvPr id="9" name="Pladsholder til tekst 4">
          <a:extLst>
            <a:ext uri="{FF2B5EF4-FFF2-40B4-BE49-F238E27FC236}">
              <a16:creationId xmlns:a16="http://schemas.microsoft.com/office/drawing/2014/main" id="{1E07B8CF-DFF7-477C-BBCE-3F1F55A33B91}"/>
            </a:ext>
          </a:extLst>
        </xdr:cNvPr>
        <xdr:cNvSpPr>
          <a:spLocks noGrp="1"/>
        </xdr:cNvSpPr>
      </xdr:nvSpPr>
      <xdr:spPr>
        <a:xfrm>
          <a:off x="4889500" y="10109200"/>
          <a:ext cx="1581149" cy="393700"/>
        </a:xfrm>
        <a:prstGeom prst="rect">
          <a:avLst/>
        </a:prstGeom>
        <a:blipFill dpi="0" rotWithShape="1">
          <a:blip xmlns:r="http://schemas.openxmlformats.org/officeDocument/2006/relationships" r:embed="rId3" cstate="print">
            <a:extLst>
              <a:ext uri="{28A0092B-C50C-407E-A947-70E740481C1C}">
                <a14:useLocalDpi xmlns:a14="http://schemas.microsoft.com/office/drawing/2010/main" val="0"/>
              </a:ext>
            </a:extLst>
          </a:blip>
          <a:srcRect/>
          <a:stretch>
            <a:fillRect/>
          </a:stretch>
        </a:blipFill>
      </xdr:spPr>
      <xdr:txBody>
        <a:bodyPr vert="horz" wrap="square" lIns="91440" tIns="1800000" rIns="91440" bIns="45720" rtlCol="0">
          <a:normAutofit fontScale="25000" lnSpcReduction="20000"/>
        </a:bodyPr>
        <a:lstStyle>
          <a:lvl1pPr marL="0" indent="0" algn="l" defTabSz="457200" rtl="0" eaLnBrk="1" fontAlgn="base" hangingPunct="1">
            <a:spcBef>
              <a:spcPct val="20000"/>
            </a:spcBef>
            <a:spcAft>
              <a:spcPct val="0"/>
            </a:spcAft>
            <a:buClr>
              <a:schemeClr val="accent1"/>
            </a:buClr>
            <a:buFont typeface="Arial" pitchFamily="34" charset="0"/>
            <a:buNone/>
            <a:defRPr lang="en-US" sz="100" kern="1200">
              <a:solidFill>
                <a:srgbClr val="88919F"/>
              </a:solidFill>
              <a:latin typeface="Arial" pitchFamily="34" charset="0"/>
              <a:ea typeface="+mn-ea"/>
              <a:cs typeface="Arial" pitchFamily="34" charset="0"/>
            </a:defRPr>
          </a:lvl1pPr>
          <a:lvl2pPr marL="266700" indent="-266700" algn="l" defTabSz="457200" rtl="0" eaLnBrk="1" fontAlgn="base" hangingPunct="1">
            <a:spcBef>
              <a:spcPct val="20000"/>
            </a:spcBef>
            <a:spcAft>
              <a:spcPct val="0"/>
            </a:spcAft>
            <a:buClr>
              <a:schemeClr val="accent1"/>
            </a:buClr>
            <a:buSzPct val="95000"/>
            <a:buFont typeface="Arial" panose="020B0604020202020204" pitchFamily="34" charset="0"/>
            <a:buChar char="●"/>
            <a:defRPr lang="en-US" sz="2000" kern="1200" dirty="0">
              <a:solidFill>
                <a:schemeClr val="tx1">
                  <a:lumMod val="75000"/>
                </a:schemeClr>
              </a:solidFill>
              <a:latin typeface="Arial" pitchFamily="34" charset="0"/>
              <a:ea typeface="+mn-ea"/>
              <a:cs typeface="Arial" pitchFamily="34" charset="0"/>
            </a:defRPr>
          </a:lvl2pPr>
          <a:lvl3pPr marL="541338" indent="-257175" algn="l" defTabSz="457200" rtl="0" eaLnBrk="1" fontAlgn="base" hangingPunct="1">
            <a:spcBef>
              <a:spcPct val="20000"/>
            </a:spcBef>
            <a:spcAft>
              <a:spcPct val="0"/>
            </a:spcAft>
            <a:buClr>
              <a:schemeClr val="accent1"/>
            </a:buClr>
            <a:buSzPct val="90000"/>
            <a:buFont typeface="Arial" panose="020B0604020202020204" pitchFamily="34" charset="0"/>
            <a:buChar char="●"/>
            <a:defRPr lang="en-US" sz="2000" kern="1200" dirty="0">
              <a:solidFill>
                <a:schemeClr val="tx1">
                  <a:lumMod val="75000"/>
                </a:schemeClr>
              </a:solidFill>
              <a:latin typeface="Arial" pitchFamily="34" charset="0"/>
              <a:ea typeface="+mn-ea"/>
              <a:cs typeface="Arial" pitchFamily="34" charset="0"/>
            </a:defRPr>
          </a:lvl3pPr>
          <a:lvl4pPr marL="808038" indent="-260350" algn="l" defTabSz="457200" rtl="0" eaLnBrk="1" fontAlgn="base" hangingPunct="1">
            <a:spcBef>
              <a:spcPct val="20000"/>
            </a:spcBef>
            <a:spcAft>
              <a:spcPct val="0"/>
            </a:spcAft>
            <a:buClr>
              <a:schemeClr val="accent1"/>
            </a:buClr>
            <a:buSzPct val="90000"/>
            <a:buFont typeface="Arial" panose="020B0604020202020204" pitchFamily="34" charset="0"/>
            <a:buChar char="●"/>
            <a:defRPr lang="en-US" sz="2000" kern="1200" dirty="0">
              <a:solidFill>
                <a:schemeClr val="tx1">
                  <a:lumMod val="75000"/>
                </a:schemeClr>
              </a:solidFill>
              <a:latin typeface="Arial" pitchFamily="34" charset="0"/>
              <a:ea typeface="+mn-ea"/>
              <a:cs typeface="Arial" pitchFamily="34" charset="0"/>
            </a:defRPr>
          </a:lvl4pPr>
          <a:lvl5pPr marL="1074738" indent="-252413" algn="l" defTabSz="457200" rtl="0" eaLnBrk="1" fontAlgn="base" hangingPunct="1">
            <a:spcBef>
              <a:spcPct val="20000"/>
            </a:spcBef>
            <a:spcAft>
              <a:spcPct val="0"/>
            </a:spcAft>
            <a:buClr>
              <a:schemeClr val="accent1"/>
            </a:buClr>
            <a:buSzPct val="90000"/>
            <a:buFont typeface="Arial" panose="020B0604020202020204" pitchFamily="34" charset="0"/>
            <a:buChar char="●"/>
            <a:defRPr lang="da-DK" sz="2000" kern="1200" dirty="0">
              <a:solidFill>
                <a:schemeClr val="tx1">
                  <a:lumMod val="75000"/>
                </a:schemeClr>
              </a:solidFill>
              <a:latin typeface="Arial" pitchFamily="34" charset="0"/>
              <a:ea typeface="+mn-ea"/>
              <a:cs typeface="Arial" pitchFamily="34" charset="0"/>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endParaRPr lang="da-DK"/>
        </a:p>
      </xdr:txBody>
    </xdr:sp>
    <xdr:clientData/>
  </xdr:twoCellAnchor>
  <xdr:twoCellAnchor editAs="oneCell">
    <xdr:from>
      <xdr:col>0</xdr:col>
      <xdr:colOff>260351</xdr:colOff>
      <xdr:row>46</xdr:row>
      <xdr:rowOff>124960</xdr:rowOff>
    </xdr:from>
    <xdr:to>
      <xdr:col>3</xdr:col>
      <xdr:colOff>127001</xdr:colOff>
      <xdr:row>48</xdr:row>
      <xdr:rowOff>159385</xdr:rowOff>
    </xdr:to>
    <xdr:pic>
      <xdr:nvPicPr>
        <xdr:cNvPr id="10" name="Billede 9">
          <a:extLst>
            <a:ext uri="{FF2B5EF4-FFF2-40B4-BE49-F238E27FC236}">
              <a16:creationId xmlns:a16="http://schemas.microsoft.com/office/drawing/2014/main" id="{F241C81A-6227-426D-A08D-78A45B9C274C}"/>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0351" y="10069060"/>
          <a:ext cx="1873250" cy="428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374650</xdr:colOff>
      <xdr:row>30</xdr:row>
      <xdr:rowOff>6101</xdr:rowOff>
    </xdr:from>
    <xdr:to>
      <xdr:col>8</xdr:col>
      <xdr:colOff>26637</xdr:colOff>
      <xdr:row>49</xdr:row>
      <xdr:rowOff>0</xdr:rowOff>
    </xdr:to>
    <xdr:graphicFrame macro="">
      <xdr:nvGraphicFramePr>
        <xdr:cNvPr id="3" name="Diagram 2">
          <a:extLst>
            <a:ext uri="{FF2B5EF4-FFF2-40B4-BE49-F238E27FC236}">
              <a16:creationId xmlns:a16="http://schemas.microsoft.com/office/drawing/2014/main" id="{627A4F82-A535-4FB1-955F-CDB9832245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47625</xdr:colOff>
      <xdr:row>1</xdr:row>
      <xdr:rowOff>196995</xdr:rowOff>
    </xdr:from>
    <xdr:to>
      <xdr:col>17</xdr:col>
      <xdr:colOff>619125</xdr:colOff>
      <xdr:row>14</xdr:row>
      <xdr:rowOff>244620</xdr:rowOff>
    </xdr:to>
    <xdr:graphicFrame macro="">
      <xdr:nvGraphicFramePr>
        <xdr:cNvPr id="4" name="Diagram 2">
          <a:extLst>
            <a:ext uri="{FF2B5EF4-FFF2-40B4-BE49-F238E27FC236}">
              <a16:creationId xmlns:a16="http://schemas.microsoft.com/office/drawing/2014/main" id="{BBB3B97E-7131-4918-A3ED-57F77D4F1F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600075</xdr:colOff>
      <xdr:row>1</xdr:row>
      <xdr:rowOff>216477</xdr:rowOff>
    </xdr:from>
    <xdr:to>
      <xdr:col>24</xdr:col>
      <xdr:colOff>880341</xdr:colOff>
      <xdr:row>14</xdr:row>
      <xdr:rowOff>245341</xdr:rowOff>
    </xdr:to>
    <xdr:graphicFrame macro="">
      <xdr:nvGraphicFramePr>
        <xdr:cNvPr id="5" name="Diagram 2">
          <a:extLst>
            <a:ext uri="{FF2B5EF4-FFF2-40B4-BE49-F238E27FC236}">
              <a16:creationId xmlns:a16="http://schemas.microsoft.com/office/drawing/2014/main" id="{3AEAF8C7-ECE5-4475-840A-BC256805AB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15</xdr:row>
      <xdr:rowOff>0</xdr:rowOff>
    </xdr:from>
    <xdr:to>
      <xdr:col>17</xdr:col>
      <xdr:colOff>571500</xdr:colOff>
      <xdr:row>31</xdr:row>
      <xdr:rowOff>166687</xdr:rowOff>
    </xdr:to>
    <xdr:graphicFrame macro="">
      <xdr:nvGraphicFramePr>
        <xdr:cNvPr id="6" name="Diagram 2">
          <a:extLst>
            <a:ext uri="{FF2B5EF4-FFF2-40B4-BE49-F238E27FC236}">
              <a16:creationId xmlns:a16="http://schemas.microsoft.com/office/drawing/2014/main" id="{5B1BC25E-47B8-4151-80CB-59082DA3AA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667328</xdr:colOff>
      <xdr:row>14</xdr:row>
      <xdr:rowOff>274204</xdr:rowOff>
    </xdr:from>
    <xdr:to>
      <xdr:col>24</xdr:col>
      <xdr:colOff>837045</xdr:colOff>
      <xdr:row>31</xdr:row>
      <xdr:rowOff>158750</xdr:rowOff>
    </xdr:to>
    <xdr:graphicFrame macro="">
      <xdr:nvGraphicFramePr>
        <xdr:cNvPr id="7" name="Diagram 2">
          <a:extLst>
            <a:ext uri="{FF2B5EF4-FFF2-40B4-BE49-F238E27FC236}">
              <a16:creationId xmlns:a16="http://schemas.microsoft.com/office/drawing/2014/main" id="{9E2F7556-E031-4F62-A670-081D97664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2</xdr:col>
      <xdr:colOff>304800</xdr:colOff>
      <xdr:row>5</xdr:row>
      <xdr:rowOff>9526</xdr:rowOff>
    </xdr:to>
    <xdr:sp macro="" textlink="">
      <xdr:nvSpPr>
        <xdr:cNvPr id="2" name="3L7ZMh7fLvc0pM:" descr="Billedresultat for danish crown logo">
          <a:hlinkClick xmlns:r="http://schemas.openxmlformats.org/officeDocument/2006/relationships" r:id="rId1"/>
          <a:extLst>
            <a:ext uri="{FF2B5EF4-FFF2-40B4-BE49-F238E27FC236}">
              <a16:creationId xmlns:a16="http://schemas.microsoft.com/office/drawing/2014/main" id="{2873E5CF-EB19-4E47-AD74-5F8FE10A3134}"/>
            </a:ext>
          </a:extLst>
        </xdr:cNvPr>
        <xdr:cNvSpPr>
          <a:spLocks noChangeAspect="1" noChangeArrowheads="1"/>
        </xdr:cNvSpPr>
      </xdr:nvSpPr>
      <xdr:spPr bwMode="auto">
        <a:xfrm>
          <a:off x="2943225" y="137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1</xdr:colOff>
      <xdr:row>15</xdr:row>
      <xdr:rowOff>149679</xdr:rowOff>
    </xdr:from>
    <xdr:to>
      <xdr:col>7</xdr:col>
      <xdr:colOff>13608</xdr:colOff>
      <xdr:row>35</xdr:row>
      <xdr:rowOff>176893</xdr:rowOff>
    </xdr:to>
    <xdr:graphicFrame macro="">
      <xdr:nvGraphicFramePr>
        <xdr:cNvPr id="3" name="Diagram 2">
          <a:extLst>
            <a:ext uri="{FF2B5EF4-FFF2-40B4-BE49-F238E27FC236}">
              <a16:creationId xmlns:a16="http://schemas.microsoft.com/office/drawing/2014/main" id="{7B284822-109D-43E1-9B35-8789D84FF2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27215</xdr:colOff>
      <xdr:row>36</xdr:row>
      <xdr:rowOff>149678</xdr:rowOff>
    </xdr:from>
    <xdr:to>
      <xdr:col>7</xdr:col>
      <xdr:colOff>40821</xdr:colOff>
      <xdr:row>54</xdr:row>
      <xdr:rowOff>149678</xdr:rowOff>
    </xdr:to>
    <xdr:graphicFrame macro="">
      <xdr:nvGraphicFramePr>
        <xdr:cNvPr id="4" name="Diagram 2">
          <a:extLst>
            <a:ext uri="{FF2B5EF4-FFF2-40B4-BE49-F238E27FC236}">
              <a16:creationId xmlns:a16="http://schemas.microsoft.com/office/drawing/2014/main" id="{86F2C849-656E-4616-B53C-BD553BC174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Finn Udesen" id="{62A6DE33-8D25-4E40-AF21-E131A1AEB064}" userId="S::fu@seges.dk::8a9343df-26f5-49f3-83f6-8f09a3325c59" providerId="AD"/>
  <person displayName="Alberto Maresca" id="{9A8CC5A7-493F-475B-BC4C-331E652083CF}" userId="S::aoma@seges.dk::5b849cc1-d73f-4e74-a413-1bba9115e471" providerId="AD"/>
</personList>
</file>

<file path=xl/theme/theme1.xml><?xml version="1.0" encoding="utf-8"?>
<a:theme xmlns:a="http://schemas.openxmlformats.org/drawingml/2006/main" name="Office-tema">
  <a:themeElements>
    <a:clrScheme name="AKM - LF2018">
      <a:dk1>
        <a:srgbClr val="000000"/>
      </a:dk1>
      <a:lt1>
        <a:sysClr val="window" lastClr="FFFFFF"/>
      </a:lt1>
      <a:dk2>
        <a:srgbClr val="09562C"/>
      </a:dk2>
      <a:lt2>
        <a:srgbClr val="FFFFFF"/>
      </a:lt2>
      <a:accent1>
        <a:srgbClr val="076471"/>
      </a:accent1>
      <a:accent2>
        <a:srgbClr val="C8C7B2"/>
      </a:accent2>
      <a:accent3>
        <a:srgbClr val="09562C"/>
      </a:accent3>
      <a:accent4>
        <a:srgbClr val="9DDCF9"/>
      </a:accent4>
      <a:accent5>
        <a:srgbClr val="E10630"/>
      </a:accent5>
      <a:accent6>
        <a:srgbClr val="FFD800"/>
      </a:accent6>
      <a:hlink>
        <a:srgbClr val="076471"/>
      </a:hlink>
      <a:folHlink>
        <a:srgbClr val="09562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2" dT="2021-05-11T11:20:52.86" personId="{62A6DE33-8D25-4E40-AF21-E131A1AEB064}" id="{12BBA11E-0F59-4A76-8EE9-C6CE2485781E}">
    <text>Der skrives 1 udfor de lokaliteter du ønsker at få med i beregningerne. Hvis du skriver 0 kommer lokaliteten ikke med i beregningerne.</text>
  </threadedComment>
  <threadedComment ref="C15" dT="2021-05-14T08:40:17.67" personId="{62A6DE33-8D25-4E40-AF21-E131A1AEB064}" id="{66E907EE-B1FA-4B3F-9E63-BD73367BD814}">
    <text>Tallene anvendes til at lave et vægtet gennemsnit af dine lokaliteter</text>
  </threadedComment>
  <threadedComment ref="B21" dT="2021-05-11T11:19:00.73" personId="{62A6DE33-8D25-4E40-AF21-E131A1AEB064}" id="{2C6022D9-C51D-4EBF-A889-7C727FEC5318}">
    <text>Der anvendes måske forskellige energiformer. Her kan kun angives alt energi omregnet til kwh. per gris/so</text>
  </threadedComment>
  <threadedComment ref="B23" dT="2021-05-14T08:37:38.34" personId="{62A6DE33-8D25-4E40-AF21-E131A1AEB064}" id="{E5881424-D2D9-4DB1-BBAE-D85DA18EE780}">
    <text>Vælg teknologi fra listen</text>
  </threadedComment>
  <threadedComment ref="B24" dT="2021-05-14T08:38:22.59" personId="{62A6DE33-8D25-4E40-AF21-E131A1AEB064}" id="{AC549C06-64AB-42DA-9C5E-607B989CF0DB}">
    <text>Vælg håndtering af gyllen fra listen</text>
  </threadedComment>
  <threadedComment ref="B25" dT="2021-10-07T13:47:50.47" personId="{62A6DE33-8D25-4E40-AF21-E131A1AEB064}" id="{D94F0A93-89AE-4278-BA03-1421A54DB6DC}">
    <text>Det er ikke helt klart om biogasanlæggets gasproduktion kan medregnes i grisens klimaaftryk</text>
  </threadedComment>
  <threadedComment ref="B27" dT="2021-05-11T13:40:55.71" personId="{62A6DE33-8D25-4E40-AF21-E131A1AEB064}" id="{DA7F522A-C0D2-4F34-ADF4-CC3F9CB0C961}">
    <text>Hvis du ønsker at lave scenarier så skriv klimatalene under scenarier inden du begynder at ændre på forudsætningerne</text>
  </threadedComment>
  <threadedComment ref="B47" dT="2021-06-08T06:32:13.16" personId="{62A6DE33-8D25-4E40-AF21-E131A1AEB064}" id="{7BB0151E-14A0-45F4-AB07-615A807FC02B}">
    <text>Summen skal være 100%</text>
  </threadedComment>
  <threadedComment ref="B68" dT="2021-06-03T11:55:07.82" personId="{62A6DE33-8D25-4E40-AF21-E131A1AEB064}" id="{BB5F333B-19CE-4778-965C-20937284521E}">
    <text>Hvis foderleverandøren har angivet CO2e  per foderenhed på indlægsedlen så kan tallet overskrives med foderstoffirmaets tal.
Hvis tallet overskrives kan der ikke længere beregnes et klimaaftryk. Så hvis der igen ønskes en beregning af klimapå fodret skal der anvendes et nyt regneark.</text>
  </threadedComment>
  <threadedComment ref="B77" dT="2021-05-11T09:21:14.94" personId="{9A8CC5A7-493F-475B-BC4C-331E652083CF}" id="{1445571A-0AC7-415F-A72D-EB4218589ABD}">
    <text>Du kan se sammensætningen i arket 'Foder-klima', celler A75:F93</text>
  </threadedComment>
  <threadedComment ref="B78" dT="2021-05-11T09:21:26.00" personId="{9A8CC5A7-493F-475B-BC4C-331E652083CF}" id="{0791AF9F-2750-4CFD-8C15-7D4036C7CEEC}">
    <text>Du kan se sammensætningen i arket 'Foder-klima', celler A75:F93</text>
  </threadedComment>
  <threadedComment ref="B79" dT="2021-06-08T06:31:01.79" personId="{62A6DE33-8D25-4E40-AF21-E131A1AEB064}" id="{65EAB35F-FB35-403E-8E99-16226E671628}">
    <text>Summen skal være 100%</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test@test.dk"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file:///C:\Users\fu\Downloads\Notat_20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06139-032F-4D90-AFE2-7E1A1CE3ED09}">
  <dimension ref="A2:J49"/>
  <sheetViews>
    <sheetView workbookViewId="0">
      <selection activeCell="D48" sqref="D48"/>
    </sheetView>
  </sheetViews>
  <sheetFormatPr defaultRowHeight="15.75" x14ac:dyDescent="0.25"/>
  <cols>
    <col min="1" max="1" width="9" customWidth="1"/>
    <col min="5" max="5" width="9" customWidth="1"/>
  </cols>
  <sheetData>
    <row r="2" spans="1:8" ht="33.75" x14ac:dyDescent="0.5">
      <c r="A2" s="356" t="s">
        <v>237</v>
      </c>
      <c r="B2" s="356"/>
      <c r="C2" s="356"/>
      <c r="D2" s="356"/>
      <c r="E2" s="356"/>
      <c r="F2" s="356"/>
      <c r="G2" s="356"/>
      <c r="H2" s="356"/>
    </row>
    <row r="10" spans="1:8" x14ac:dyDescent="0.25">
      <c r="B10" s="33"/>
    </row>
    <row r="11" spans="1:8" ht="17.25" x14ac:dyDescent="0.3">
      <c r="B11" s="276"/>
    </row>
    <row r="30" spans="1:9" ht="55.5" customHeight="1" thickBot="1" x14ac:dyDescent="0.35">
      <c r="A30" s="366" t="s">
        <v>233</v>
      </c>
      <c r="B30" s="366"/>
      <c r="C30" s="366"/>
      <c r="D30" s="366"/>
      <c r="E30" s="366"/>
      <c r="F30" s="366"/>
      <c r="G30" s="366"/>
      <c r="H30" s="366"/>
    </row>
    <row r="31" spans="1:9" ht="16.5" thickBot="1" x14ac:dyDescent="0.3">
      <c r="E31" s="357" t="s">
        <v>39</v>
      </c>
      <c r="F31" s="358"/>
      <c r="G31" s="358"/>
      <c r="H31" s="359"/>
    </row>
    <row r="32" spans="1:9" x14ac:dyDescent="0.25">
      <c r="E32" s="284" t="s">
        <v>219</v>
      </c>
      <c r="F32" s="285"/>
      <c r="G32" s="285"/>
      <c r="H32" s="286"/>
      <c r="I32" s="287"/>
    </row>
    <row r="33" spans="1:10" x14ac:dyDescent="0.25">
      <c r="E33" s="284" t="s">
        <v>222</v>
      </c>
      <c r="F33" s="285"/>
      <c r="G33" s="285"/>
      <c r="H33" s="286"/>
      <c r="I33" s="287"/>
    </row>
    <row r="34" spans="1:10" ht="24.75" customHeight="1" x14ac:dyDescent="0.25">
      <c r="E34" s="360" t="s">
        <v>220</v>
      </c>
      <c r="F34" s="361"/>
      <c r="G34" s="361"/>
      <c r="H34" s="362"/>
    </row>
    <row r="35" spans="1:10" x14ac:dyDescent="0.25">
      <c r="E35" s="360"/>
      <c r="F35" s="361"/>
      <c r="G35" s="361"/>
      <c r="H35" s="362"/>
    </row>
    <row r="36" spans="1:10" x14ac:dyDescent="0.25">
      <c r="E36" s="360"/>
      <c r="F36" s="361"/>
      <c r="G36" s="361"/>
      <c r="H36" s="362"/>
    </row>
    <row r="37" spans="1:10" x14ac:dyDescent="0.25">
      <c r="E37" s="360"/>
      <c r="F37" s="361"/>
      <c r="G37" s="361"/>
      <c r="H37" s="362"/>
    </row>
    <row r="38" spans="1:10" x14ac:dyDescent="0.25">
      <c r="E38" s="360"/>
      <c r="F38" s="361"/>
      <c r="G38" s="361"/>
      <c r="H38" s="362"/>
    </row>
    <row r="39" spans="1:10" x14ac:dyDescent="0.25">
      <c r="E39" s="360"/>
      <c r="F39" s="361"/>
      <c r="G39" s="361"/>
      <c r="H39" s="362"/>
    </row>
    <row r="40" spans="1:10" x14ac:dyDescent="0.25">
      <c r="E40" s="360"/>
      <c r="F40" s="361"/>
      <c r="G40" s="361"/>
      <c r="H40" s="362"/>
    </row>
    <row r="41" spans="1:10" ht="16.5" thickBot="1" x14ac:dyDescent="0.3">
      <c r="E41" s="363"/>
      <c r="F41" s="364"/>
      <c r="G41" s="364"/>
      <c r="H41" s="365"/>
    </row>
    <row r="42" spans="1:10" x14ac:dyDescent="0.25">
      <c r="A42" t="s">
        <v>221</v>
      </c>
    </row>
    <row r="47" spans="1:10" x14ac:dyDescent="0.25">
      <c r="A47" s="341"/>
      <c r="B47" s="341"/>
      <c r="C47" s="341"/>
      <c r="D47" s="341"/>
      <c r="E47" s="341"/>
      <c r="F47" s="341"/>
      <c r="G47" s="341"/>
      <c r="H47" s="341"/>
      <c r="I47" s="341"/>
      <c r="J47" s="341"/>
    </row>
    <row r="48" spans="1:10" x14ac:dyDescent="0.25">
      <c r="A48" s="341"/>
      <c r="B48" s="341"/>
      <c r="C48" s="341"/>
      <c r="D48" s="341"/>
      <c r="E48" s="341"/>
      <c r="F48" s="341"/>
      <c r="G48" s="341"/>
      <c r="H48" s="341"/>
      <c r="I48" s="341"/>
      <c r="J48" s="341"/>
    </row>
    <row r="49" spans="1:10" x14ac:dyDescent="0.25">
      <c r="A49" s="341"/>
      <c r="B49" s="341"/>
      <c r="C49" s="341"/>
      <c r="D49" s="341"/>
      <c r="E49" s="341"/>
      <c r="F49" s="341"/>
      <c r="G49" s="341"/>
      <c r="H49" s="341"/>
      <c r="I49" s="341"/>
      <c r="J49" s="341"/>
    </row>
  </sheetData>
  <mergeCells count="4">
    <mergeCell ref="A2:H2"/>
    <mergeCell ref="E31:H31"/>
    <mergeCell ref="E34:H41"/>
    <mergeCell ref="A30:H3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1CE03-6FF5-3644-9241-C18B9C6009DD}">
  <sheetPr>
    <tabColor theme="4"/>
    <pageSetUpPr fitToPage="1"/>
  </sheetPr>
  <dimension ref="A1:R94"/>
  <sheetViews>
    <sheetView tabSelected="1" zoomScale="96" zoomScaleNormal="96" workbookViewId="0">
      <selection activeCell="J21" sqref="J21"/>
    </sheetView>
  </sheetViews>
  <sheetFormatPr defaultColWidth="11" defaultRowHeight="15.75" x14ac:dyDescent="0.25"/>
  <cols>
    <col min="1" max="1" width="11" style="223"/>
    <col min="2" max="2" width="41.75" customWidth="1"/>
    <col min="3" max="3" width="22.25" style="3" customWidth="1"/>
    <col min="4" max="4" width="21" customWidth="1"/>
    <col min="5" max="5" width="20.5" customWidth="1"/>
    <col min="6" max="6" width="22.25" customWidth="1"/>
    <col min="7" max="7" width="19.75" customWidth="1"/>
    <col min="8" max="8" width="18.125" customWidth="1"/>
  </cols>
  <sheetData>
    <row r="1" spans="2:18" ht="36" customHeight="1" x14ac:dyDescent="0.5">
      <c r="B1" s="367" t="s">
        <v>246</v>
      </c>
      <c r="C1" s="367"/>
      <c r="D1" s="367"/>
      <c r="E1" s="367"/>
      <c r="F1" s="367"/>
      <c r="G1" s="367"/>
      <c r="H1" s="367"/>
      <c r="I1" s="223"/>
      <c r="J1" s="223"/>
      <c r="K1" s="223"/>
      <c r="L1" s="223"/>
      <c r="M1" s="223"/>
      <c r="N1" s="223"/>
      <c r="O1" s="223"/>
      <c r="P1" s="223"/>
      <c r="Q1" s="223"/>
      <c r="R1" s="223"/>
    </row>
    <row r="2" spans="2:18" ht="16.5" thickBot="1" x14ac:dyDescent="0.3">
      <c r="B2" s="223" t="s">
        <v>80</v>
      </c>
      <c r="C2" s="5">
        <v>2021</v>
      </c>
      <c r="D2" s="223"/>
      <c r="E2" s="223"/>
      <c r="F2" s="223"/>
      <c r="G2" s="223"/>
      <c r="H2" s="223"/>
      <c r="I2" s="223"/>
      <c r="J2" s="223"/>
      <c r="K2" s="223"/>
      <c r="L2" s="223"/>
      <c r="M2" s="223"/>
      <c r="N2" s="223"/>
      <c r="O2" s="223"/>
      <c r="P2" s="223"/>
      <c r="Q2" s="223"/>
      <c r="R2" s="223"/>
    </row>
    <row r="3" spans="2:18" x14ac:dyDescent="0.25">
      <c r="B3" s="224" t="s">
        <v>67</v>
      </c>
      <c r="C3" s="225" t="s">
        <v>93</v>
      </c>
      <c r="D3" s="223"/>
      <c r="E3" s="6"/>
      <c r="F3" s="223"/>
      <c r="G3" s="223"/>
      <c r="H3" s="223"/>
      <c r="I3" s="223"/>
      <c r="J3" s="223"/>
      <c r="K3" s="223"/>
      <c r="L3" s="223"/>
      <c r="M3" s="223"/>
      <c r="N3" s="223"/>
      <c r="O3" s="223"/>
      <c r="P3" s="223"/>
      <c r="Q3" s="223"/>
      <c r="R3" s="223"/>
    </row>
    <row r="4" spans="2:18" x14ac:dyDescent="0.25">
      <c r="B4" s="226" t="s">
        <v>68</v>
      </c>
      <c r="C4" s="227" t="s">
        <v>70</v>
      </c>
      <c r="D4" s="223"/>
      <c r="E4" s="136"/>
      <c r="F4" t="s">
        <v>223</v>
      </c>
      <c r="H4" s="223"/>
      <c r="I4" s="223"/>
      <c r="J4" s="223"/>
      <c r="K4" s="223"/>
      <c r="L4" s="223"/>
      <c r="M4" s="223"/>
      <c r="N4" s="223"/>
      <c r="O4" s="223"/>
      <c r="P4" s="223"/>
      <c r="Q4" s="223"/>
      <c r="R4" s="223"/>
    </row>
    <row r="5" spans="2:18" x14ac:dyDescent="0.25">
      <c r="B5" s="226" t="s">
        <v>205</v>
      </c>
      <c r="C5" s="227">
        <v>9001</v>
      </c>
      <c r="D5" s="223"/>
      <c r="E5" s="236"/>
      <c r="F5" s="259" t="s">
        <v>224</v>
      </c>
      <c r="G5" s="223"/>
      <c r="H5" s="223"/>
      <c r="I5" s="223"/>
      <c r="J5" s="223"/>
      <c r="K5" s="223"/>
      <c r="L5" s="223"/>
      <c r="M5" s="223"/>
      <c r="N5" s="223"/>
      <c r="O5" s="223"/>
      <c r="P5" s="223"/>
      <c r="Q5" s="223"/>
      <c r="R5" s="223"/>
    </row>
    <row r="6" spans="2:18" x14ac:dyDescent="0.25">
      <c r="B6" s="226" t="s">
        <v>71</v>
      </c>
      <c r="C6" s="227" t="s">
        <v>82</v>
      </c>
      <c r="D6" s="223"/>
      <c r="E6" s="223"/>
      <c r="F6" s="223"/>
      <c r="G6" s="223"/>
      <c r="H6" s="223"/>
      <c r="I6" s="223"/>
      <c r="J6" s="223"/>
      <c r="K6" s="223"/>
      <c r="L6" s="223"/>
      <c r="M6" s="223"/>
      <c r="N6" s="223"/>
      <c r="O6" s="223"/>
      <c r="P6" s="223"/>
      <c r="Q6" s="223"/>
      <c r="R6" s="223"/>
    </row>
    <row r="7" spans="2:18" x14ac:dyDescent="0.25">
      <c r="B7" s="226" t="s">
        <v>69</v>
      </c>
      <c r="C7" s="227" t="s">
        <v>72</v>
      </c>
      <c r="D7" s="223"/>
      <c r="E7" s="223"/>
      <c r="F7" s="230"/>
      <c r="G7" s="223"/>
      <c r="H7" s="223"/>
      <c r="I7" s="223"/>
      <c r="J7" s="223"/>
      <c r="K7" s="223"/>
      <c r="L7" s="223"/>
      <c r="M7" s="223"/>
      <c r="N7" s="223"/>
      <c r="O7" s="223"/>
      <c r="P7" s="223"/>
      <c r="Q7" s="223"/>
      <c r="R7" s="223"/>
    </row>
    <row r="8" spans="2:18" x14ac:dyDescent="0.25">
      <c r="B8" s="226" t="s">
        <v>206</v>
      </c>
      <c r="C8" s="227">
        <v>123456789</v>
      </c>
      <c r="D8" s="223"/>
      <c r="E8" s="223"/>
      <c r="F8" s="223"/>
      <c r="G8" s="223"/>
      <c r="H8" s="223"/>
      <c r="I8" s="223"/>
      <c r="J8" s="223"/>
      <c r="K8" s="223"/>
      <c r="L8" s="223"/>
      <c r="M8" s="223"/>
      <c r="N8" s="223"/>
      <c r="O8" s="223"/>
      <c r="P8" s="223"/>
      <c r="Q8" s="223"/>
      <c r="R8" s="223"/>
    </row>
    <row r="9" spans="2:18" ht="16.5" thickBot="1" x14ac:dyDescent="0.3">
      <c r="B9" s="228" t="s">
        <v>73</v>
      </c>
      <c r="C9" s="229" t="s">
        <v>74</v>
      </c>
      <c r="D9" s="223"/>
      <c r="E9" s="223"/>
      <c r="F9" s="223"/>
      <c r="G9" s="223"/>
      <c r="H9" s="223"/>
      <c r="I9" s="223"/>
      <c r="J9" s="223"/>
      <c r="K9" s="223"/>
      <c r="L9" s="223"/>
      <c r="M9" s="223"/>
      <c r="N9" s="223"/>
      <c r="O9" s="223"/>
      <c r="P9" s="223"/>
      <c r="Q9" s="223"/>
      <c r="R9" s="223"/>
    </row>
    <row r="10" spans="2:18" ht="16.5" thickBot="1" x14ac:dyDescent="0.3">
      <c r="B10" s="1" t="s">
        <v>225</v>
      </c>
      <c r="E10" s="223"/>
      <c r="F10" s="223"/>
      <c r="G10" s="223"/>
      <c r="H10" s="223"/>
      <c r="I10" s="231"/>
      <c r="J10" s="223"/>
      <c r="K10" s="223"/>
      <c r="L10" s="223"/>
      <c r="M10" s="223"/>
      <c r="N10" s="223"/>
      <c r="O10" s="223"/>
      <c r="P10" s="223"/>
      <c r="Q10" s="223"/>
      <c r="R10" s="223"/>
    </row>
    <row r="11" spans="2:18" x14ac:dyDescent="0.25">
      <c r="B11" s="12" t="s">
        <v>11</v>
      </c>
      <c r="C11" s="219">
        <v>1</v>
      </c>
      <c r="D11" s="220">
        <v>2</v>
      </c>
      <c r="E11" s="220">
        <v>3</v>
      </c>
      <c r="F11" s="221">
        <v>4</v>
      </c>
      <c r="G11" s="222">
        <v>5</v>
      </c>
      <c r="H11" s="221">
        <v>6</v>
      </c>
      <c r="I11" s="231"/>
      <c r="J11" s="223"/>
      <c r="K11" s="223"/>
      <c r="L11" s="223"/>
      <c r="M11" s="223"/>
      <c r="N11" s="223"/>
      <c r="O11" s="223"/>
      <c r="P11" s="223"/>
      <c r="Q11" s="223"/>
      <c r="R11" s="223"/>
    </row>
    <row r="12" spans="2:18" x14ac:dyDescent="0.25">
      <c r="B12" s="280" t="s">
        <v>172</v>
      </c>
      <c r="C12" s="175">
        <v>1</v>
      </c>
      <c r="D12" s="176">
        <v>1</v>
      </c>
      <c r="E12" s="176">
        <v>1</v>
      </c>
      <c r="F12" s="177">
        <v>1</v>
      </c>
      <c r="G12" s="178">
        <v>1</v>
      </c>
      <c r="H12" s="177">
        <v>1</v>
      </c>
      <c r="I12" s="231"/>
      <c r="J12" s="223"/>
      <c r="K12" s="223"/>
      <c r="L12" s="223"/>
      <c r="M12" s="223"/>
      <c r="N12" s="223"/>
      <c r="O12" s="223"/>
      <c r="P12" s="223"/>
      <c r="Q12" s="223"/>
      <c r="R12" s="223"/>
    </row>
    <row r="13" spans="2:18" ht="16.5" thickBot="1" x14ac:dyDescent="0.3">
      <c r="B13" s="197" t="s">
        <v>226</v>
      </c>
      <c r="C13" s="237" t="s">
        <v>114</v>
      </c>
      <c r="D13" s="179" t="s">
        <v>114</v>
      </c>
      <c r="E13" s="179" t="s">
        <v>114</v>
      </c>
      <c r="F13" s="238" t="s">
        <v>114</v>
      </c>
      <c r="G13" s="239" t="s">
        <v>171</v>
      </c>
      <c r="H13" s="238" t="s">
        <v>108</v>
      </c>
      <c r="I13" s="232"/>
      <c r="J13" s="233"/>
      <c r="K13" s="223"/>
      <c r="L13" s="223"/>
      <c r="M13" s="223"/>
      <c r="N13" s="223"/>
      <c r="O13" s="223"/>
      <c r="P13" s="223"/>
      <c r="Q13" s="223"/>
      <c r="R13" s="223"/>
    </row>
    <row r="14" spans="2:18" x14ac:dyDescent="0.25">
      <c r="B14" s="8" t="s">
        <v>148</v>
      </c>
      <c r="C14" s="348">
        <v>1</v>
      </c>
      <c r="D14" s="240">
        <v>1</v>
      </c>
      <c r="E14" s="348">
        <v>1</v>
      </c>
      <c r="F14" s="240">
        <v>1</v>
      </c>
      <c r="G14" s="348"/>
      <c r="H14" s="348"/>
      <c r="I14" s="232"/>
      <c r="J14" s="223"/>
      <c r="K14" s="223"/>
      <c r="L14" s="223"/>
      <c r="M14" s="223"/>
      <c r="N14" s="223"/>
      <c r="O14" s="223"/>
      <c r="P14" s="223"/>
      <c r="Q14" s="223"/>
      <c r="R14" s="223"/>
    </row>
    <row r="15" spans="2:18" ht="29.25" customHeight="1" x14ac:dyDescent="0.25">
      <c r="B15" s="81" t="s">
        <v>229</v>
      </c>
      <c r="C15" s="138">
        <v>1000</v>
      </c>
      <c r="D15" s="137">
        <v>1000</v>
      </c>
      <c r="E15" s="138">
        <v>1000</v>
      </c>
      <c r="F15" s="137">
        <v>1000</v>
      </c>
      <c r="G15" s="138">
        <v>1000</v>
      </c>
      <c r="H15" s="138">
        <v>33600</v>
      </c>
      <c r="I15" s="231"/>
      <c r="J15" s="223"/>
      <c r="K15" s="223"/>
      <c r="L15" s="223"/>
      <c r="M15" s="223"/>
      <c r="N15" s="223"/>
      <c r="O15" s="223"/>
      <c r="P15" s="223"/>
      <c r="Q15" s="223"/>
      <c r="R15" s="223"/>
    </row>
    <row r="16" spans="2:18" x14ac:dyDescent="0.25">
      <c r="B16" s="8" t="s">
        <v>115</v>
      </c>
      <c r="C16" s="138">
        <f>IF(C14=1,30,H18)</f>
        <v>30</v>
      </c>
      <c r="D16" s="137">
        <f t="shared" ref="D16:F16" si="0">IF(D14=1,30,I18)</f>
        <v>30</v>
      </c>
      <c r="E16" s="138">
        <f t="shared" si="0"/>
        <v>30</v>
      </c>
      <c r="F16" s="137">
        <f t="shared" si="0"/>
        <v>30</v>
      </c>
      <c r="G16" s="138">
        <v>6.4</v>
      </c>
      <c r="H16" s="138">
        <f>+G16</f>
        <v>6.4</v>
      </c>
      <c r="I16" s="234"/>
      <c r="J16" s="223"/>
      <c r="K16" s="223"/>
      <c r="L16" s="223"/>
      <c r="M16" s="223"/>
      <c r="N16" s="223"/>
      <c r="O16" s="223"/>
      <c r="P16" s="223"/>
      <c r="Q16" s="223"/>
      <c r="R16" s="223"/>
    </row>
    <row r="17" spans="2:18" x14ac:dyDescent="0.25">
      <c r="B17" s="8" t="s">
        <v>227</v>
      </c>
      <c r="C17" s="138">
        <v>88</v>
      </c>
      <c r="D17" s="137">
        <v>88</v>
      </c>
      <c r="E17" s="138">
        <v>88</v>
      </c>
      <c r="F17" s="137">
        <v>88</v>
      </c>
      <c r="G17" s="139">
        <v>33.9</v>
      </c>
      <c r="H17" s="349"/>
      <c r="I17" s="234"/>
      <c r="J17" s="223"/>
      <c r="K17" s="223"/>
      <c r="L17" s="223"/>
      <c r="M17" s="223"/>
      <c r="N17" s="223"/>
      <c r="O17" s="223"/>
      <c r="P17" s="223"/>
      <c r="Q17" s="223"/>
      <c r="R17" s="223"/>
    </row>
    <row r="18" spans="2:18" x14ac:dyDescent="0.25">
      <c r="B18" s="8" t="s">
        <v>116</v>
      </c>
      <c r="C18" s="352">
        <f>+C17*1.31</f>
        <v>115.28</v>
      </c>
      <c r="D18" s="140">
        <f>+D17*1.31</f>
        <v>115.28</v>
      </c>
      <c r="E18" s="352">
        <f>+E17*1.31</f>
        <v>115.28</v>
      </c>
      <c r="F18" s="140">
        <f>+F17*1.31</f>
        <v>115.28</v>
      </c>
      <c r="G18" s="138"/>
      <c r="H18" s="138">
        <v>30</v>
      </c>
      <c r="I18" s="232"/>
      <c r="J18" s="223"/>
      <c r="K18" s="223"/>
      <c r="L18" s="223"/>
      <c r="M18" s="223"/>
      <c r="N18" s="223"/>
      <c r="O18" s="223"/>
      <c r="P18" s="223"/>
      <c r="Q18" s="223"/>
      <c r="R18" s="223"/>
    </row>
    <row r="19" spans="2:18" ht="33.75" customHeight="1" x14ac:dyDescent="0.25">
      <c r="B19" s="81" t="s">
        <v>228</v>
      </c>
      <c r="C19" s="139">
        <v>2.65</v>
      </c>
      <c r="D19" s="141">
        <v>2.65</v>
      </c>
      <c r="E19" s="139">
        <v>2.65</v>
      </c>
      <c r="F19" s="141">
        <v>2.65</v>
      </c>
      <c r="G19" s="138">
        <v>1516</v>
      </c>
      <c r="H19" s="139">
        <v>1.82</v>
      </c>
      <c r="I19" s="232"/>
      <c r="J19" s="223"/>
      <c r="K19" s="223"/>
      <c r="L19" s="223"/>
      <c r="M19" s="223"/>
      <c r="N19" s="223"/>
      <c r="O19" s="223"/>
      <c r="P19" s="223"/>
      <c r="Q19" s="223"/>
      <c r="R19" s="223"/>
    </row>
    <row r="20" spans="2:18" ht="18" customHeight="1" x14ac:dyDescent="0.25">
      <c r="B20" s="81" t="s">
        <v>142</v>
      </c>
      <c r="C20" s="143">
        <v>3.4000000000000002E-2</v>
      </c>
      <c r="D20" s="142">
        <v>3.4000000000000002E-2</v>
      </c>
      <c r="E20" s="143">
        <v>3.4000000000000002E-2</v>
      </c>
      <c r="F20" s="142">
        <v>3.4000000000000002E-2</v>
      </c>
      <c r="G20" s="143">
        <v>0.23599999999999999</v>
      </c>
      <c r="H20" s="241">
        <v>3.5999999999999997E-2</v>
      </c>
      <c r="I20" s="232"/>
      <c r="J20" s="223"/>
      <c r="K20" s="223"/>
      <c r="L20" s="223"/>
      <c r="M20" s="223"/>
      <c r="N20" s="223"/>
      <c r="O20" s="223"/>
      <c r="P20" s="223"/>
      <c r="Q20" s="223"/>
      <c r="R20" s="223"/>
    </row>
    <row r="21" spans="2:18" x14ac:dyDescent="0.25">
      <c r="B21" s="218" t="s">
        <v>207</v>
      </c>
      <c r="C21" s="138">
        <v>14</v>
      </c>
      <c r="D21" s="137">
        <v>14</v>
      </c>
      <c r="E21" s="138">
        <v>14</v>
      </c>
      <c r="F21" s="137">
        <v>14</v>
      </c>
      <c r="G21" s="138">
        <v>10</v>
      </c>
      <c r="H21" s="138">
        <v>12</v>
      </c>
      <c r="I21" s="232"/>
      <c r="J21" s="223"/>
      <c r="K21" s="223"/>
      <c r="L21" s="223"/>
      <c r="M21" s="223"/>
      <c r="N21" s="223"/>
      <c r="O21" s="223"/>
      <c r="P21" s="223"/>
      <c r="Q21" s="223"/>
      <c r="R21" s="223"/>
    </row>
    <row r="22" spans="2:18" x14ac:dyDescent="0.25">
      <c r="B22" s="8" t="s">
        <v>94</v>
      </c>
      <c r="C22" s="353">
        <v>3</v>
      </c>
      <c r="D22" s="144">
        <v>3</v>
      </c>
      <c r="E22" s="353">
        <v>3</v>
      </c>
      <c r="F22" s="144">
        <v>3</v>
      </c>
      <c r="G22" s="138">
        <v>6</v>
      </c>
      <c r="H22" s="138">
        <v>1</v>
      </c>
      <c r="I22" s="232"/>
      <c r="J22" s="223"/>
      <c r="K22" s="223"/>
      <c r="L22" s="223"/>
      <c r="M22" s="223"/>
      <c r="N22" s="223"/>
      <c r="O22" s="223"/>
      <c r="P22" s="223"/>
      <c r="Q22" s="223"/>
      <c r="R22" s="223"/>
    </row>
    <row r="23" spans="2:18" x14ac:dyDescent="0.25">
      <c r="B23" s="218" t="s">
        <v>240</v>
      </c>
      <c r="C23" s="138" t="s">
        <v>52</v>
      </c>
      <c r="D23" s="137" t="s">
        <v>52</v>
      </c>
      <c r="E23" s="138" t="s">
        <v>52</v>
      </c>
      <c r="F23" s="137" t="s">
        <v>52</v>
      </c>
      <c r="G23" s="138" t="s">
        <v>52</v>
      </c>
      <c r="H23" s="138" t="s">
        <v>52</v>
      </c>
      <c r="I23" s="232"/>
      <c r="J23" s="223"/>
      <c r="K23" s="223"/>
      <c r="L23" s="223"/>
      <c r="M23" s="223"/>
      <c r="N23" s="223"/>
      <c r="O23" s="223"/>
      <c r="P23" s="223"/>
      <c r="Q23" s="223"/>
      <c r="R23" s="223"/>
    </row>
    <row r="24" spans="2:18" x14ac:dyDescent="0.25">
      <c r="B24" s="218" t="s">
        <v>238</v>
      </c>
      <c r="C24" s="138" t="s">
        <v>64</v>
      </c>
      <c r="D24" s="137" t="s">
        <v>64</v>
      </c>
      <c r="E24" s="138" t="s">
        <v>64</v>
      </c>
      <c r="F24" s="137" t="s">
        <v>64</v>
      </c>
      <c r="G24" s="138" t="s">
        <v>64</v>
      </c>
      <c r="H24" s="138" t="s">
        <v>64</v>
      </c>
      <c r="I24" s="232"/>
      <c r="J24" s="223"/>
      <c r="K24" s="223"/>
      <c r="L24" s="223"/>
      <c r="M24" s="223"/>
      <c r="N24" s="223"/>
      <c r="O24" s="223"/>
      <c r="P24" s="223"/>
      <c r="Q24" s="223"/>
      <c r="R24" s="223"/>
    </row>
    <row r="25" spans="2:18" ht="16.5" thickBot="1" x14ac:dyDescent="0.3">
      <c r="B25" s="347" t="s">
        <v>257</v>
      </c>
      <c r="C25" s="146" t="s">
        <v>258</v>
      </c>
      <c r="D25" s="145" t="s">
        <v>258</v>
      </c>
      <c r="E25" s="146" t="s">
        <v>258</v>
      </c>
      <c r="F25" s="145" t="s">
        <v>258</v>
      </c>
      <c r="G25" s="146" t="s">
        <v>258</v>
      </c>
      <c r="H25" s="146" t="s">
        <v>258</v>
      </c>
      <c r="I25" s="235"/>
      <c r="J25" s="223"/>
      <c r="K25" s="223"/>
      <c r="L25" s="223"/>
      <c r="M25" s="223"/>
      <c r="N25" s="223"/>
      <c r="O25" s="223"/>
      <c r="P25" s="223"/>
      <c r="Q25" s="223"/>
      <c r="R25" s="223"/>
    </row>
    <row r="26" spans="2:18" x14ac:dyDescent="0.25">
      <c r="B26" s="350" t="s">
        <v>235</v>
      </c>
      <c r="C26" s="354">
        <f>+Beregningmotor!C39</f>
        <v>2.4519550176767795</v>
      </c>
      <c r="D26" s="298">
        <f>+Beregningmotor!D39</f>
        <v>2.4519550176767795</v>
      </c>
      <c r="E26" s="354">
        <f>+Beregningmotor!E39</f>
        <v>2.4519550176767795</v>
      </c>
      <c r="F26" s="298">
        <f>+Beregningmotor!F39</f>
        <v>2.4519550176767795</v>
      </c>
      <c r="G26" s="299">
        <f>+Beregningmotor!P37</f>
        <v>41.186541043992548</v>
      </c>
      <c r="H26" s="277">
        <f>+Beregningmotor!Q37</f>
        <v>96.885386671101358</v>
      </c>
      <c r="I26" s="235"/>
      <c r="J26" s="223"/>
      <c r="K26" s="223"/>
      <c r="L26" s="223"/>
      <c r="M26" s="223"/>
      <c r="N26" s="223"/>
      <c r="O26" s="223"/>
      <c r="P26" s="223"/>
      <c r="Q26" s="223"/>
      <c r="R26" s="223"/>
    </row>
    <row r="27" spans="2:18" ht="16.5" thickBot="1" x14ac:dyDescent="0.3">
      <c r="B27" s="351" t="s">
        <v>236</v>
      </c>
      <c r="C27" s="355"/>
      <c r="D27" s="278"/>
      <c r="E27" s="300"/>
      <c r="F27" s="278"/>
      <c r="G27" s="300"/>
      <c r="H27" s="279"/>
      <c r="I27" s="223"/>
      <c r="J27" s="223"/>
      <c r="K27" s="223"/>
      <c r="L27" s="223"/>
      <c r="M27" s="223"/>
      <c r="N27" s="223"/>
      <c r="O27" s="223"/>
      <c r="P27" s="223"/>
      <c r="Q27" s="223"/>
      <c r="R27" s="223"/>
    </row>
    <row r="28" spans="2:18" ht="19.5" thickBot="1" x14ac:dyDescent="0.35">
      <c r="B28" s="24" t="s">
        <v>117</v>
      </c>
      <c r="C28" s="28"/>
      <c r="I28" s="223"/>
      <c r="J28" s="223"/>
      <c r="K28" s="223"/>
      <c r="L28" s="223"/>
      <c r="M28" s="223"/>
      <c r="N28" s="223"/>
      <c r="O28" s="223"/>
      <c r="P28" s="223"/>
      <c r="Q28" s="223"/>
      <c r="R28" s="223"/>
    </row>
    <row r="29" spans="2:18" ht="19.5" thickBot="1" x14ac:dyDescent="0.35">
      <c r="B29" s="246" t="s">
        <v>59</v>
      </c>
      <c r="C29" s="57">
        <f t="shared" ref="C29:H29" si="1">+C11</f>
        <v>1</v>
      </c>
      <c r="D29" s="57">
        <f t="shared" si="1"/>
        <v>2</v>
      </c>
      <c r="E29" s="57">
        <f t="shared" si="1"/>
        <v>3</v>
      </c>
      <c r="F29" s="58">
        <f t="shared" si="1"/>
        <v>4</v>
      </c>
      <c r="G29" s="58">
        <f t="shared" si="1"/>
        <v>5</v>
      </c>
      <c r="H29" s="58">
        <f t="shared" si="1"/>
        <v>6</v>
      </c>
      <c r="I29" s="223"/>
      <c r="J29" s="223"/>
      <c r="K29" s="223"/>
      <c r="L29" s="223"/>
      <c r="M29" s="223"/>
      <c r="N29" s="223"/>
      <c r="O29" s="223"/>
      <c r="P29" s="223"/>
      <c r="Q29" s="223"/>
      <c r="R29" s="223"/>
    </row>
    <row r="30" spans="2:18" ht="21.75" customHeight="1" x14ac:dyDescent="0.25">
      <c r="B30" s="247" t="s">
        <v>53</v>
      </c>
      <c r="C30" s="44"/>
      <c r="D30" s="242"/>
      <c r="E30" s="274"/>
      <c r="F30" s="243"/>
      <c r="G30" s="40"/>
      <c r="H30" s="105"/>
      <c r="I30" s="223"/>
      <c r="J30" s="223"/>
      <c r="K30" s="223"/>
      <c r="L30" s="223"/>
      <c r="M30" s="223"/>
      <c r="N30" s="223"/>
      <c r="O30" s="223"/>
      <c r="P30" s="223"/>
      <c r="Q30" s="223"/>
      <c r="R30" s="223"/>
    </row>
    <row r="31" spans="2:18" x14ac:dyDescent="0.25">
      <c r="B31" s="107" t="s">
        <v>249</v>
      </c>
      <c r="C31" s="249">
        <v>0</v>
      </c>
      <c r="D31" s="244">
        <v>0</v>
      </c>
      <c r="E31" s="249">
        <v>0</v>
      </c>
      <c r="F31" s="249">
        <v>0</v>
      </c>
      <c r="G31" s="244">
        <v>0</v>
      </c>
      <c r="H31" s="249">
        <v>0</v>
      </c>
      <c r="I31" s="223"/>
      <c r="J31" s="223"/>
      <c r="K31" s="223"/>
      <c r="L31" s="223"/>
      <c r="M31" s="223"/>
      <c r="N31" s="223"/>
      <c r="O31" s="223"/>
      <c r="P31" s="223"/>
      <c r="Q31" s="223"/>
      <c r="R31" s="223"/>
    </row>
    <row r="32" spans="2:18" x14ac:dyDescent="0.25">
      <c r="B32" s="107" t="s">
        <v>259</v>
      </c>
      <c r="C32" s="249">
        <v>0</v>
      </c>
      <c r="D32" s="244">
        <v>0</v>
      </c>
      <c r="E32" s="249">
        <v>0</v>
      </c>
      <c r="F32" s="249">
        <v>0</v>
      </c>
      <c r="G32" s="244">
        <v>0</v>
      </c>
      <c r="H32" s="249">
        <v>0</v>
      </c>
      <c r="I32" s="223"/>
      <c r="J32" s="223"/>
      <c r="K32" s="223"/>
      <c r="L32" s="223"/>
      <c r="M32" s="223"/>
      <c r="N32" s="223"/>
      <c r="O32" s="223"/>
      <c r="P32" s="223"/>
      <c r="Q32" s="223"/>
      <c r="R32" s="223"/>
    </row>
    <row r="33" spans="1:18" x14ac:dyDescent="0.25">
      <c r="B33" s="248" t="s">
        <v>16</v>
      </c>
      <c r="C33" s="249">
        <v>0</v>
      </c>
      <c r="D33" s="244">
        <v>0</v>
      </c>
      <c r="E33" s="249">
        <v>0</v>
      </c>
      <c r="F33" s="249">
        <v>0</v>
      </c>
      <c r="G33" s="244">
        <v>0</v>
      </c>
      <c r="H33" s="249">
        <v>0</v>
      </c>
      <c r="I33" s="223"/>
      <c r="J33" s="223"/>
      <c r="K33" s="223"/>
      <c r="L33" s="223"/>
      <c r="M33" s="223"/>
      <c r="N33" s="223"/>
      <c r="O33" s="223"/>
      <c r="P33" s="223"/>
      <c r="Q33" s="223"/>
      <c r="R33" s="223"/>
    </row>
    <row r="34" spans="1:18" x14ac:dyDescent="0.25">
      <c r="B34" s="248" t="s">
        <v>19</v>
      </c>
      <c r="C34" s="249">
        <v>0</v>
      </c>
      <c r="D34" s="244">
        <v>0</v>
      </c>
      <c r="E34" s="249">
        <v>0</v>
      </c>
      <c r="F34" s="249">
        <v>0</v>
      </c>
      <c r="G34" s="244">
        <v>0</v>
      </c>
      <c r="H34" s="249">
        <v>0</v>
      </c>
      <c r="I34" s="223"/>
      <c r="J34" s="223"/>
      <c r="K34" s="223"/>
      <c r="L34" s="223"/>
      <c r="M34" s="223"/>
      <c r="N34" s="223"/>
      <c r="O34" s="223"/>
      <c r="P34" s="223"/>
      <c r="Q34" s="223"/>
      <c r="R34" s="223"/>
    </row>
    <row r="35" spans="1:18" x14ac:dyDescent="0.25">
      <c r="B35" s="107" t="s">
        <v>3</v>
      </c>
      <c r="C35" s="249">
        <v>0</v>
      </c>
      <c r="D35" s="244">
        <v>0</v>
      </c>
      <c r="E35" s="249">
        <v>0</v>
      </c>
      <c r="F35" s="249">
        <v>0</v>
      </c>
      <c r="G35" s="244">
        <v>0</v>
      </c>
      <c r="H35" s="249">
        <v>0</v>
      </c>
      <c r="I35" s="223"/>
      <c r="J35" s="223"/>
      <c r="K35" s="223"/>
      <c r="L35" s="223"/>
      <c r="M35" s="223"/>
      <c r="N35" s="223"/>
      <c r="O35" s="223"/>
      <c r="P35" s="223"/>
      <c r="Q35" s="223"/>
      <c r="R35" s="223"/>
    </row>
    <row r="36" spans="1:18" x14ac:dyDescent="0.25">
      <c r="B36" s="107" t="s">
        <v>4</v>
      </c>
      <c r="C36" s="249">
        <v>0</v>
      </c>
      <c r="D36" s="244">
        <v>0</v>
      </c>
      <c r="E36" s="249">
        <v>0</v>
      </c>
      <c r="F36" s="249">
        <v>0</v>
      </c>
      <c r="G36" s="244">
        <v>0</v>
      </c>
      <c r="H36" s="249">
        <v>0</v>
      </c>
      <c r="I36" s="223"/>
      <c r="J36" s="223"/>
      <c r="K36" s="223"/>
      <c r="L36" s="223"/>
      <c r="M36" s="223"/>
      <c r="N36" s="223"/>
      <c r="O36" s="223"/>
      <c r="P36" s="223"/>
      <c r="Q36" s="223"/>
      <c r="R36" s="223"/>
    </row>
    <row r="37" spans="1:18" x14ac:dyDescent="0.25">
      <c r="B37" s="107" t="s">
        <v>5</v>
      </c>
      <c r="C37" s="249">
        <v>0</v>
      </c>
      <c r="D37" s="244">
        <v>0</v>
      </c>
      <c r="E37" s="249">
        <v>0</v>
      </c>
      <c r="F37" s="249">
        <v>0</v>
      </c>
      <c r="G37" s="244">
        <v>0</v>
      </c>
      <c r="H37" s="249">
        <v>0</v>
      </c>
      <c r="I37" s="223"/>
      <c r="J37" s="223"/>
      <c r="K37" s="223"/>
      <c r="L37" s="223"/>
      <c r="M37" s="223"/>
      <c r="N37" s="223"/>
      <c r="O37" s="223"/>
      <c r="P37" s="223"/>
      <c r="Q37" s="223"/>
      <c r="R37" s="223"/>
    </row>
    <row r="38" spans="1:18" x14ac:dyDescent="0.25">
      <c r="B38" s="107" t="s">
        <v>46</v>
      </c>
      <c r="C38" s="249">
        <v>0</v>
      </c>
      <c r="D38" s="244">
        <v>0</v>
      </c>
      <c r="E38" s="249">
        <v>0</v>
      </c>
      <c r="F38" s="249">
        <v>0</v>
      </c>
      <c r="G38" s="244">
        <v>0</v>
      </c>
      <c r="H38" s="249">
        <v>0</v>
      </c>
      <c r="I38" s="223"/>
      <c r="J38" s="223"/>
      <c r="K38" s="223"/>
      <c r="L38" s="223"/>
      <c r="M38" s="223"/>
      <c r="N38" s="223"/>
      <c r="O38" s="223"/>
      <c r="P38" s="223"/>
      <c r="Q38" s="223"/>
      <c r="R38" s="223"/>
    </row>
    <row r="39" spans="1:18" x14ac:dyDescent="0.25">
      <c r="B39" s="107" t="s">
        <v>6</v>
      </c>
      <c r="C39" s="249">
        <v>0</v>
      </c>
      <c r="D39" s="244">
        <v>0</v>
      </c>
      <c r="E39" s="249">
        <v>0</v>
      </c>
      <c r="F39" s="249">
        <v>0</v>
      </c>
      <c r="G39" s="244">
        <v>0</v>
      </c>
      <c r="H39" s="249">
        <v>0</v>
      </c>
      <c r="I39" s="223"/>
      <c r="J39" s="223"/>
      <c r="K39" s="223"/>
      <c r="L39" s="223"/>
      <c r="M39" s="223"/>
      <c r="N39" s="223"/>
      <c r="O39" s="223"/>
      <c r="P39" s="223"/>
      <c r="Q39" s="223"/>
      <c r="R39" s="223"/>
    </row>
    <row r="40" spans="1:18" x14ac:dyDescent="0.25">
      <c r="B40" s="107" t="s">
        <v>7</v>
      </c>
      <c r="C40" s="249">
        <v>0</v>
      </c>
      <c r="D40" s="244">
        <v>0</v>
      </c>
      <c r="E40" s="249">
        <v>0</v>
      </c>
      <c r="F40" s="249">
        <v>0</v>
      </c>
      <c r="G40" s="244">
        <v>0</v>
      </c>
      <c r="H40" s="249">
        <v>0</v>
      </c>
      <c r="I40" s="223"/>
      <c r="J40" s="223"/>
      <c r="K40" s="223"/>
      <c r="L40" s="223"/>
      <c r="M40" s="223"/>
      <c r="N40" s="223"/>
      <c r="O40" s="223"/>
      <c r="P40" s="223"/>
      <c r="Q40" s="223"/>
      <c r="R40" s="223"/>
    </row>
    <row r="41" spans="1:18" x14ac:dyDescent="0.25">
      <c r="B41" s="107" t="s">
        <v>118</v>
      </c>
      <c r="C41" s="249">
        <v>0</v>
      </c>
      <c r="D41" s="244">
        <v>0</v>
      </c>
      <c r="E41" s="249">
        <v>0</v>
      </c>
      <c r="F41" s="249">
        <v>0</v>
      </c>
      <c r="G41" s="244">
        <v>0</v>
      </c>
      <c r="H41" s="249">
        <v>0</v>
      </c>
      <c r="I41" s="223"/>
      <c r="J41" s="223"/>
      <c r="K41" s="223"/>
      <c r="L41" s="223"/>
      <c r="M41" s="223"/>
      <c r="N41" s="223"/>
      <c r="O41" s="223"/>
      <c r="P41" s="223"/>
      <c r="Q41" s="223"/>
      <c r="R41" s="223"/>
    </row>
    <row r="42" spans="1:18" x14ac:dyDescent="0.25">
      <c r="B42" s="107" t="s">
        <v>8</v>
      </c>
      <c r="C42" s="249">
        <v>0</v>
      </c>
      <c r="D42" s="244">
        <v>0</v>
      </c>
      <c r="E42" s="249">
        <v>0</v>
      </c>
      <c r="F42" s="249">
        <v>0</v>
      </c>
      <c r="G42" s="244">
        <v>0</v>
      </c>
      <c r="H42" s="249">
        <v>0</v>
      </c>
      <c r="I42" s="223"/>
      <c r="J42" s="223"/>
      <c r="K42" s="223"/>
      <c r="L42" s="223"/>
      <c r="M42" s="223"/>
      <c r="N42" s="223"/>
      <c r="O42" s="223"/>
      <c r="P42" s="223"/>
      <c r="Q42" s="223"/>
      <c r="R42" s="223"/>
    </row>
    <row r="43" spans="1:18" x14ac:dyDescent="0.25">
      <c r="B43" s="107" t="s">
        <v>131</v>
      </c>
      <c r="C43" s="249">
        <v>0</v>
      </c>
      <c r="D43" s="244">
        <v>0</v>
      </c>
      <c r="E43" s="249">
        <v>0</v>
      </c>
      <c r="F43" s="249">
        <v>0</v>
      </c>
      <c r="G43" s="244">
        <v>0</v>
      </c>
      <c r="H43" s="249">
        <v>0</v>
      </c>
      <c r="I43" s="223"/>
      <c r="J43" s="223"/>
      <c r="K43" s="223"/>
      <c r="L43" s="223"/>
      <c r="M43" s="223"/>
      <c r="N43" s="223"/>
      <c r="O43" s="223"/>
      <c r="P43" s="223"/>
      <c r="Q43" s="223"/>
      <c r="R43" s="223"/>
    </row>
    <row r="44" spans="1:18" x14ac:dyDescent="0.25">
      <c r="B44" s="107" t="s">
        <v>132</v>
      </c>
      <c r="C44" s="249">
        <v>0</v>
      </c>
      <c r="D44" s="244">
        <v>0</v>
      </c>
      <c r="E44" s="249">
        <v>0</v>
      </c>
      <c r="F44" s="249">
        <v>0</v>
      </c>
      <c r="G44" s="244">
        <v>0</v>
      </c>
      <c r="H44" s="249">
        <v>0</v>
      </c>
      <c r="I44" s="223"/>
      <c r="J44" s="223"/>
      <c r="K44" s="223"/>
      <c r="L44" s="223"/>
      <c r="M44" s="223"/>
      <c r="N44" s="223"/>
      <c r="O44" s="223"/>
      <c r="P44" s="223"/>
      <c r="Q44" s="223"/>
      <c r="R44" s="223"/>
    </row>
    <row r="45" spans="1:18" x14ac:dyDescent="0.25">
      <c r="B45" s="107" t="s">
        <v>14</v>
      </c>
      <c r="C45" s="249">
        <v>0</v>
      </c>
      <c r="D45" s="244">
        <v>0</v>
      </c>
      <c r="E45" s="249">
        <v>0</v>
      </c>
      <c r="F45" s="249">
        <v>0</v>
      </c>
      <c r="G45" s="244">
        <v>0</v>
      </c>
      <c r="H45" s="249">
        <v>0</v>
      </c>
      <c r="I45" s="223"/>
      <c r="J45" s="223"/>
      <c r="K45" s="223"/>
      <c r="L45" s="223"/>
      <c r="M45" s="223"/>
      <c r="N45" s="223"/>
      <c r="O45" s="223"/>
      <c r="P45" s="223"/>
      <c r="Q45" s="223"/>
      <c r="R45" s="223"/>
    </row>
    <row r="46" spans="1:18" ht="16.5" thickBot="1" x14ac:dyDescent="0.3">
      <c r="B46" s="107" t="s">
        <v>15</v>
      </c>
      <c r="C46" s="249">
        <v>0</v>
      </c>
      <c r="D46" s="244">
        <v>0</v>
      </c>
      <c r="E46" s="249">
        <v>0</v>
      </c>
      <c r="F46" s="249">
        <v>0</v>
      </c>
      <c r="G46" s="244">
        <v>0</v>
      </c>
      <c r="H46" s="249">
        <v>0</v>
      </c>
      <c r="I46" s="223"/>
      <c r="J46" s="223"/>
      <c r="K46" s="223"/>
      <c r="L46" s="223"/>
      <c r="M46" s="223"/>
      <c r="N46" s="223"/>
      <c r="O46" s="223"/>
      <c r="P46" s="223"/>
      <c r="Q46" s="223"/>
      <c r="R46" s="223"/>
    </row>
    <row r="47" spans="1:18" ht="16.5" thickBot="1" x14ac:dyDescent="0.3">
      <c r="B47" s="304" t="s">
        <v>0</v>
      </c>
      <c r="C47" s="306">
        <f t="shared" ref="C47:G47" si="2">SUM(C31:C46)</f>
        <v>0</v>
      </c>
      <c r="D47" s="302">
        <f t="shared" si="2"/>
        <v>0</v>
      </c>
      <c r="E47" s="306">
        <f t="shared" si="2"/>
        <v>0</v>
      </c>
      <c r="F47" s="303">
        <f t="shared" si="2"/>
        <v>0</v>
      </c>
      <c r="G47" s="302">
        <f t="shared" si="2"/>
        <v>0</v>
      </c>
      <c r="H47" s="306">
        <v>0</v>
      </c>
      <c r="I47" s="223"/>
      <c r="J47" s="223"/>
      <c r="K47" s="223"/>
      <c r="L47" s="223"/>
      <c r="M47" s="223"/>
      <c r="N47" s="223"/>
      <c r="O47" s="223"/>
      <c r="P47" s="223"/>
      <c r="Q47" s="223"/>
      <c r="R47" s="223"/>
    </row>
    <row r="48" spans="1:18" ht="16.5" thickBot="1" x14ac:dyDescent="0.3">
      <c r="A48" s="189"/>
      <c r="B48" s="189"/>
      <c r="C48" s="251"/>
      <c r="D48" s="251"/>
      <c r="E48" s="251"/>
      <c r="F48" s="251"/>
      <c r="G48" s="251"/>
      <c r="H48" s="251"/>
      <c r="I48" s="189"/>
      <c r="J48" s="250"/>
      <c r="K48" s="250"/>
      <c r="L48" s="250"/>
      <c r="M48" s="223"/>
      <c r="N48" s="223"/>
      <c r="O48" s="223"/>
      <c r="P48" s="223"/>
      <c r="Q48" s="223"/>
      <c r="R48" s="223"/>
    </row>
    <row r="49" spans="2:18" ht="19.5" thickBot="1" x14ac:dyDescent="0.35">
      <c r="B49" s="246" t="s">
        <v>59</v>
      </c>
      <c r="C49" s="57">
        <f t="shared" ref="C49:H49" si="3">+C29</f>
        <v>1</v>
      </c>
      <c r="D49" s="57">
        <f t="shared" si="3"/>
        <v>2</v>
      </c>
      <c r="E49" s="57">
        <f t="shared" si="3"/>
        <v>3</v>
      </c>
      <c r="F49" s="57">
        <f t="shared" si="3"/>
        <v>4</v>
      </c>
      <c r="G49" s="313">
        <f t="shared" si="3"/>
        <v>5</v>
      </c>
      <c r="H49" s="58">
        <f t="shared" si="3"/>
        <v>6</v>
      </c>
      <c r="I49" s="223"/>
      <c r="J49" s="223"/>
      <c r="K49" s="223"/>
      <c r="L49" s="223"/>
      <c r="M49" s="223"/>
      <c r="N49" s="223"/>
      <c r="O49" s="223"/>
      <c r="P49" s="223"/>
      <c r="Q49" s="223"/>
      <c r="R49" s="223"/>
    </row>
    <row r="50" spans="2:18" x14ac:dyDescent="0.25">
      <c r="B50" s="309" t="s">
        <v>54</v>
      </c>
      <c r="C50" s="44"/>
      <c r="D50" s="242"/>
      <c r="E50" s="274"/>
      <c r="F50" s="242"/>
      <c r="G50" s="105"/>
      <c r="H50" s="68"/>
      <c r="I50" s="223"/>
      <c r="J50" s="223"/>
      <c r="K50" s="223"/>
      <c r="L50" s="223"/>
      <c r="M50" s="223"/>
      <c r="N50" s="223"/>
      <c r="O50" s="223"/>
      <c r="P50" s="223"/>
      <c r="Q50" s="223"/>
      <c r="R50" s="223"/>
    </row>
    <row r="51" spans="2:18" x14ac:dyDescent="0.25">
      <c r="B51" s="8" t="str">
        <f t="shared" ref="B51:B66" si="4">B31</f>
        <v>HVEDE</v>
      </c>
      <c r="C51" s="249">
        <v>0</v>
      </c>
      <c r="D51" s="244">
        <v>0</v>
      </c>
      <c r="E51" s="249">
        <v>0</v>
      </c>
      <c r="F51" s="244">
        <v>0</v>
      </c>
      <c r="G51" s="249">
        <v>0</v>
      </c>
      <c r="H51" s="245">
        <v>0</v>
      </c>
      <c r="I51" s="223"/>
      <c r="J51" s="223"/>
      <c r="K51" s="223"/>
      <c r="L51" s="223"/>
      <c r="M51" s="223"/>
      <c r="N51" s="223"/>
      <c r="O51" s="223"/>
      <c r="P51" s="223"/>
      <c r="Q51" s="223"/>
      <c r="R51" s="223"/>
    </row>
    <row r="52" spans="2:18" x14ac:dyDescent="0.25">
      <c r="B52" s="8" t="str">
        <f t="shared" si="4"/>
        <v>BYG,  vår/vinter</v>
      </c>
      <c r="C52" s="249">
        <v>0</v>
      </c>
      <c r="D52" s="244">
        <v>0</v>
      </c>
      <c r="E52" s="249">
        <v>0</v>
      </c>
      <c r="F52" s="244">
        <v>0</v>
      </c>
      <c r="G52" s="249">
        <v>0</v>
      </c>
      <c r="H52" s="245">
        <v>0</v>
      </c>
      <c r="I52" s="223"/>
      <c r="J52" s="223"/>
      <c r="K52" s="223"/>
      <c r="L52" s="223"/>
      <c r="M52" s="223"/>
      <c r="N52" s="223"/>
      <c r="O52" s="223"/>
      <c r="P52" s="223"/>
      <c r="Q52" s="223"/>
      <c r="R52" s="223"/>
    </row>
    <row r="53" spans="2:18" x14ac:dyDescent="0.25">
      <c r="B53" s="310" t="str">
        <f t="shared" si="4"/>
        <v>Rug/tritikale</v>
      </c>
      <c r="C53" s="249">
        <v>0</v>
      </c>
      <c r="D53" s="244">
        <v>0</v>
      </c>
      <c r="E53" s="249">
        <v>0</v>
      </c>
      <c r="F53" s="244">
        <v>0</v>
      </c>
      <c r="G53" s="249">
        <v>0</v>
      </c>
      <c r="H53" s="245">
        <v>0</v>
      </c>
      <c r="I53" s="223"/>
      <c r="J53" s="223"/>
      <c r="K53" s="223"/>
      <c r="L53" s="223"/>
      <c r="M53" s="223"/>
      <c r="N53" s="223"/>
      <c r="O53" s="223"/>
      <c r="P53" s="223"/>
      <c r="Q53" s="223"/>
      <c r="R53" s="223"/>
    </row>
    <row r="54" spans="2:18" x14ac:dyDescent="0.25">
      <c r="B54" s="310" t="str">
        <f t="shared" si="4"/>
        <v>Valle, gns af alle valletyper</v>
      </c>
      <c r="C54" s="249">
        <v>0</v>
      </c>
      <c r="D54" s="244"/>
      <c r="E54" s="249">
        <v>0</v>
      </c>
      <c r="F54" s="244">
        <v>0</v>
      </c>
      <c r="G54" s="249">
        <v>0</v>
      </c>
      <c r="H54" s="245">
        <v>0</v>
      </c>
      <c r="I54" s="223"/>
      <c r="J54" s="223"/>
      <c r="K54" s="223"/>
      <c r="L54" s="223"/>
      <c r="M54" s="223"/>
      <c r="N54" s="223"/>
      <c r="O54" s="223"/>
      <c r="P54" s="223"/>
      <c r="Q54" s="223"/>
      <c r="R54" s="223"/>
    </row>
    <row r="55" spans="2:18" x14ac:dyDescent="0.25">
      <c r="B55" s="8" t="str">
        <f t="shared" si="4"/>
        <v>SOJASKRÅFODER,  afskallet toastet</v>
      </c>
      <c r="C55" s="249">
        <v>0</v>
      </c>
      <c r="D55" s="244">
        <v>0</v>
      </c>
      <c r="E55" s="249">
        <v>0</v>
      </c>
      <c r="F55" s="244">
        <v>0</v>
      </c>
      <c r="G55" s="249">
        <v>0</v>
      </c>
      <c r="H55" s="245">
        <v>0</v>
      </c>
      <c r="I55" s="223"/>
      <c r="J55" s="223"/>
      <c r="K55" s="223"/>
      <c r="L55" s="223"/>
      <c r="M55" s="223"/>
      <c r="N55" s="223"/>
      <c r="O55" s="223"/>
      <c r="P55" s="223"/>
      <c r="Q55" s="223"/>
      <c r="R55" s="223"/>
    </row>
    <row r="56" spans="2:18" x14ac:dyDescent="0.25">
      <c r="B56" s="8" t="str">
        <f t="shared" si="4"/>
        <v>RAPSSKRÅFODER,  lavt glukosinolatindhold</v>
      </c>
      <c r="C56" s="249">
        <v>0</v>
      </c>
      <c r="D56" s="244">
        <v>0</v>
      </c>
      <c r="E56" s="249">
        <v>0</v>
      </c>
      <c r="F56" s="244">
        <v>0</v>
      </c>
      <c r="G56" s="249">
        <v>0</v>
      </c>
      <c r="H56" s="245">
        <v>0</v>
      </c>
      <c r="I56" s="223"/>
      <c r="J56" s="223"/>
      <c r="K56" s="223"/>
      <c r="L56" s="223"/>
      <c r="M56" s="223"/>
      <c r="N56" s="223"/>
      <c r="O56" s="223"/>
      <c r="P56" s="223"/>
      <c r="Q56" s="223"/>
      <c r="R56" s="223"/>
    </row>
    <row r="57" spans="2:18" x14ac:dyDescent="0.25">
      <c r="B57" s="8" t="str">
        <f t="shared" si="4"/>
        <v>SOLSIKKESKRÅFODER,  afskallet</v>
      </c>
      <c r="C57" s="249">
        <v>0</v>
      </c>
      <c r="D57" s="244">
        <v>0</v>
      </c>
      <c r="E57" s="249">
        <v>0</v>
      </c>
      <c r="F57" s="244">
        <v>0</v>
      </c>
      <c r="G57" s="249">
        <v>0</v>
      </c>
      <c r="H57" s="245">
        <v>0</v>
      </c>
      <c r="I57" s="223"/>
      <c r="J57" s="223"/>
      <c r="K57" s="223"/>
      <c r="L57" s="223"/>
      <c r="M57" s="223"/>
      <c r="N57" s="223"/>
      <c r="O57" s="223"/>
      <c r="P57" s="223"/>
      <c r="Q57" s="223"/>
      <c r="R57" s="223"/>
    </row>
    <row r="58" spans="2:18" x14ac:dyDescent="0.25">
      <c r="B58" s="8" t="str">
        <f t="shared" si="4"/>
        <v>Hestebønner</v>
      </c>
      <c r="C58" s="249">
        <v>0</v>
      </c>
      <c r="D58" s="244">
        <v>0</v>
      </c>
      <c r="E58" s="249">
        <v>0</v>
      </c>
      <c r="F58" s="244">
        <v>0</v>
      </c>
      <c r="G58" s="249">
        <v>0</v>
      </c>
      <c r="H58" s="245">
        <v>0</v>
      </c>
      <c r="I58" s="223"/>
      <c r="J58" s="223"/>
      <c r="K58" s="223"/>
      <c r="L58" s="223"/>
      <c r="M58" s="223"/>
      <c r="N58" s="223"/>
      <c r="O58" s="223"/>
      <c r="P58" s="223"/>
      <c r="Q58" s="223"/>
      <c r="R58" s="223"/>
    </row>
    <row r="59" spans="2:18" x14ac:dyDescent="0.25">
      <c r="B59" s="8" t="str">
        <f t="shared" si="4"/>
        <v>HVEDEKLID</v>
      </c>
      <c r="C59" s="249">
        <v>0</v>
      </c>
      <c r="D59" s="244">
        <v>0</v>
      </c>
      <c r="E59" s="249">
        <v>0</v>
      </c>
      <c r="F59" s="244">
        <v>0</v>
      </c>
      <c r="G59" s="249">
        <v>0</v>
      </c>
      <c r="H59" s="245">
        <v>0</v>
      </c>
      <c r="I59" s="223"/>
      <c r="J59" s="223"/>
      <c r="K59" s="223"/>
      <c r="L59" s="223"/>
      <c r="M59" s="223"/>
      <c r="N59" s="223"/>
      <c r="O59" s="223"/>
      <c r="P59" s="223"/>
      <c r="Q59" s="223"/>
      <c r="R59" s="223"/>
    </row>
    <row r="60" spans="2:18" x14ac:dyDescent="0.25">
      <c r="B60" s="8" t="str">
        <f t="shared" si="4"/>
        <v>VEGETABILSK OLIE OG FEDTSTOF, Palme</v>
      </c>
      <c r="C60" s="249">
        <v>0</v>
      </c>
      <c r="D60" s="244">
        <v>0</v>
      </c>
      <c r="E60" s="249">
        <v>0</v>
      </c>
      <c r="F60" s="244">
        <v>0</v>
      </c>
      <c r="G60" s="249">
        <v>0</v>
      </c>
      <c r="H60" s="245">
        <v>0</v>
      </c>
      <c r="I60" s="223"/>
      <c r="J60" s="223"/>
      <c r="K60" s="223"/>
      <c r="L60" s="223"/>
      <c r="M60" s="223"/>
      <c r="N60" s="223"/>
      <c r="O60" s="223"/>
      <c r="P60" s="223"/>
      <c r="Q60" s="223"/>
      <c r="R60" s="223"/>
    </row>
    <row r="61" spans="2:18" x14ac:dyDescent="0.25">
      <c r="B61" s="8" t="str">
        <f t="shared" si="4"/>
        <v>SOJA/Raps olie</v>
      </c>
      <c r="C61" s="249">
        <v>0</v>
      </c>
      <c r="D61" s="244">
        <v>0</v>
      </c>
      <c r="E61" s="249">
        <v>0</v>
      </c>
      <c r="F61" s="244">
        <v>0</v>
      </c>
      <c r="G61" s="249">
        <v>0</v>
      </c>
      <c r="H61" s="245">
        <v>0</v>
      </c>
      <c r="I61" s="223"/>
      <c r="J61" s="223"/>
      <c r="K61" s="223"/>
      <c r="L61" s="223"/>
      <c r="M61" s="223"/>
      <c r="N61" s="223"/>
      <c r="O61" s="223"/>
      <c r="P61" s="223"/>
      <c r="Q61" s="223"/>
      <c r="R61" s="223"/>
    </row>
    <row r="62" spans="2:18" x14ac:dyDescent="0.25">
      <c r="B62" s="8" t="str">
        <f t="shared" si="4"/>
        <v>SUKKERROEMELASSE</v>
      </c>
      <c r="C62" s="249">
        <v>0</v>
      </c>
      <c r="D62" s="244">
        <v>0</v>
      </c>
      <c r="E62" s="249">
        <v>0</v>
      </c>
      <c r="F62" s="244">
        <v>0</v>
      </c>
      <c r="G62" s="249">
        <v>0</v>
      </c>
      <c r="H62" s="245">
        <v>0</v>
      </c>
      <c r="I62" s="223"/>
      <c r="J62" s="223"/>
      <c r="K62" s="223"/>
      <c r="L62" s="223"/>
      <c r="M62" s="223"/>
      <c r="N62" s="223"/>
      <c r="O62" s="223"/>
      <c r="P62" s="223"/>
      <c r="Q62" s="223"/>
      <c r="R62" s="223"/>
    </row>
    <row r="63" spans="2:18" x14ac:dyDescent="0.25">
      <c r="B63" s="8" t="str">
        <f t="shared" si="4"/>
        <v>Fiskemel</v>
      </c>
      <c r="C63" s="249">
        <v>0</v>
      </c>
      <c r="D63" s="244">
        <v>0</v>
      </c>
      <c r="E63" s="249">
        <v>0</v>
      </c>
      <c r="F63" s="244">
        <v>0</v>
      </c>
      <c r="G63" s="249">
        <v>0</v>
      </c>
      <c r="H63" s="245">
        <v>0</v>
      </c>
      <c r="I63" s="223"/>
      <c r="J63" s="223"/>
      <c r="K63" s="223"/>
      <c r="L63" s="223"/>
      <c r="M63" s="223"/>
      <c r="N63" s="223"/>
      <c r="O63" s="223"/>
      <c r="P63" s="223"/>
      <c r="Q63" s="223"/>
      <c r="R63" s="223"/>
    </row>
    <row r="64" spans="2:18" x14ac:dyDescent="0.25">
      <c r="B64" s="8" t="str">
        <f t="shared" si="4"/>
        <v>Skummetmælkspulver</v>
      </c>
      <c r="C64" s="249">
        <v>0</v>
      </c>
      <c r="D64" s="244">
        <v>0</v>
      </c>
      <c r="E64" s="249">
        <v>0</v>
      </c>
      <c r="F64" s="244">
        <v>0</v>
      </c>
      <c r="G64" s="249">
        <v>0</v>
      </c>
      <c r="H64" s="245">
        <v>0</v>
      </c>
      <c r="I64" s="223"/>
      <c r="J64" s="223"/>
      <c r="K64" s="223"/>
      <c r="L64" s="223"/>
      <c r="M64" s="223"/>
      <c r="N64" s="223"/>
      <c r="O64" s="223"/>
      <c r="P64" s="223"/>
      <c r="Q64" s="223"/>
      <c r="R64" s="223"/>
    </row>
    <row r="65" spans="1:18" x14ac:dyDescent="0.25">
      <c r="B65" s="8" t="str">
        <f t="shared" si="4"/>
        <v>Mineralsk foderblanding</v>
      </c>
      <c r="C65" s="249">
        <v>0</v>
      </c>
      <c r="D65" s="244">
        <v>0</v>
      </c>
      <c r="E65" s="249">
        <v>0</v>
      </c>
      <c r="F65" s="244">
        <v>0</v>
      </c>
      <c r="G65" s="249">
        <v>0</v>
      </c>
      <c r="H65" s="245">
        <v>0</v>
      </c>
      <c r="I65" s="223"/>
      <c r="J65" s="223"/>
      <c r="K65" s="223"/>
      <c r="L65" s="223"/>
      <c r="M65" s="223"/>
      <c r="N65" s="223"/>
      <c r="O65" s="223"/>
      <c r="P65" s="223"/>
      <c r="Q65" s="223"/>
      <c r="R65" s="223"/>
    </row>
    <row r="66" spans="1:18" ht="16.5" thickBot="1" x14ac:dyDescent="0.3">
      <c r="B66" s="8" t="str">
        <f t="shared" si="4"/>
        <v>Andet</v>
      </c>
      <c r="C66" s="249">
        <v>0</v>
      </c>
      <c r="D66" s="244">
        <v>0</v>
      </c>
      <c r="E66" s="249">
        <v>0</v>
      </c>
      <c r="F66" s="244">
        <v>0</v>
      </c>
      <c r="G66" s="249">
        <v>0</v>
      </c>
      <c r="H66" s="245">
        <v>0</v>
      </c>
      <c r="I66" s="223"/>
      <c r="J66" s="223"/>
      <c r="K66" s="223"/>
      <c r="L66" s="223"/>
      <c r="M66" s="223"/>
      <c r="N66" s="223"/>
      <c r="O66" s="223"/>
      <c r="P66" s="223"/>
      <c r="Q66" s="223"/>
      <c r="R66" s="223"/>
    </row>
    <row r="67" spans="1:18" ht="16.5" thickBot="1" x14ac:dyDescent="0.3">
      <c r="B67" s="305" t="s">
        <v>0</v>
      </c>
      <c r="C67" s="306">
        <f t="shared" ref="C67:H67" si="5">SUM(C51:C66)</f>
        <v>0</v>
      </c>
      <c r="D67" s="302">
        <f t="shared" si="5"/>
        <v>0</v>
      </c>
      <c r="E67" s="306">
        <f t="shared" si="5"/>
        <v>0</v>
      </c>
      <c r="F67" s="302">
        <f t="shared" si="5"/>
        <v>0</v>
      </c>
      <c r="G67" s="306">
        <f t="shared" si="5"/>
        <v>0</v>
      </c>
      <c r="H67" s="303">
        <f t="shared" si="5"/>
        <v>0</v>
      </c>
      <c r="I67" s="223"/>
      <c r="J67" s="223"/>
      <c r="K67" s="223"/>
      <c r="L67" s="223"/>
      <c r="M67" s="223"/>
      <c r="N67" s="223"/>
      <c r="O67" s="223"/>
      <c r="P67" s="223"/>
      <c r="Q67" s="223"/>
      <c r="R67" s="223"/>
    </row>
    <row r="68" spans="1:18" ht="16.5" thickBot="1" x14ac:dyDescent="0.3">
      <c r="B68" s="315" t="s">
        <v>244</v>
      </c>
      <c r="C68" s="311">
        <f>+'Foder-database'!F44</f>
        <v>0</v>
      </c>
      <c r="D68" s="307">
        <f>+'Foder-database'!M44</f>
        <v>0</v>
      </c>
      <c r="E68" s="311">
        <f>+'Foder-database'!T44</f>
        <v>0</v>
      </c>
      <c r="F68" s="307">
        <f>+'Foder-database'!AA44</f>
        <v>0</v>
      </c>
      <c r="G68" s="311">
        <f>+'Foder-database'!AH44</f>
        <v>0</v>
      </c>
      <c r="H68" s="308">
        <f>+'Foder-database'!AO44</f>
        <v>0</v>
      </c>
      <c r="I68" s="223"/>
      <c r="J68" s="223"/>
      <c r="K68" s="223"/>
      <c r="L68" s="223"/>
      <c r="M68" s="223"/>
      <c r="N68" s="223"/>
      <c r="O68" s="223"/>
      <c r="P68" s="223"/>
      <c r="Q68" s="223"/>
      <c r="R68" s="223"/>
    </row>
    <row r="69" spans="1:18" ht="16.5" thickBot="1" x14ac:dyDescent="0.3">
      <c r="B69" s="315" t="s">
        <v>245</v>
      </c>
      <c r="C69" s="311">
        <f>+'Foder-database'!F45</f>
        <v>0</v>
      </c>
      <c r="D69" s="307">
        <f>+'Foder-database'!M45</f>
        <v>0</v>
      </c>
      <c r="E69" s="311">
        <f>+'Foder-database'!T45</f>
        <v>0</v>
      </c>
      <c r="F69" s="307">
        <f>+'Foder-database'!AA45</f>
        <v>0</v>
      </c>
      <c r="G69" s="311">
        <f>+'Foder-database'!AH45</f>
        <v>0</v>
      </c>
      <c r="H69" s="308">
        <f>+'Foder-database'!AO45</f>
        <v>0</v>
      </c>
      <c r="I69" s="223"/>
      <c r="J69" s="223"/>
      <c r="K69" s="223"/>
      <c r="L69" s="223"/>
      <c r="M69" s="223"/>
      <c r="N69" s="223"/>
      <c r="O69" s="223"/>
      <c r="P69" s="223"/>
      <c r="Q69" s="223"/>
      <c r="R69" s="223"/>
    </row>
    <row r="70" spans="1:18" ht="16.5" thickBot="1" x14ac:dyDescent="0.3">
      <c r="B70" s="13" t="s">
        <v>241</v>
      </c>
      <c r="C70" s="311">
        <f>+'Foder-database'!F46</f>
        <v>0.5166035372721286</v>
      </c>
      <c r="D70" s="307">
        <f>+'Foder-database'!M46</f>
        <v>0.5166035372721286</v>
      </c>
      <c r="E70" s="311">
        <f>+'Foder-database'!T46</f>
        <v>0.5166035372721286</v>
      </c>
      <c r="F70" s="307">
        <f>+'Foder-database'!AA46</f>
        <v>0.5166035372721286</v>
      </c>
      <c r="G70" s="311">
        <f>+'Foder-database'!AH46</f>
        <v>0.46639015662085748</v>
      </c>
      <c r="H70" s="308">
        <f>+'Foder-database'!AO46</f>
        <v>0.93267205600496095</v>
      </c>
      <c r="I70" s="223"/>
      <c r="J70" s="223"/>
      <c r="K70" s="223"/>
      <c r="L70" s="223"/>
      <c r="M70" s="223"/>
      <c r="N70" s="223"/>
      <c r="O70" s="223"/>
      <c r="P70" s="223"/>
      <c r="Q70" s="223"/>
      <c r="R70" s="223"/>
    </row>
    <row r="71" spans="1:18" ht="16.5" thickBot="1" x14ac:dyDescent="0.3">
      <c r="B71" s="13" t="s">
        <v>242</v>
      </c>
      <c r="C71" s="311">
        <f>+'Foder-database'!F47</f>
        <v>0.53541223707191132</v>
      </c>
      <c r="D71" s="307">
        <f>+'Foder-database'!M47</f>
        <v>0.53541223707191132</v>
      </c>
      <c r="E71" s="311">
        <f>+'Foder-database'!T47</f>
        <v>0.53541223707191132</v>
      </c>
      <c r="F71" s="307">
        <f>+'Foder-database'!AA47</f>
        <v>0.53541223707191132</v>
      </c>
      <c r="G71" s="311">
        <f>+'Foder-database'!AH47</f>
        <v>0.50302322252340037</v>
      </c>
      <c r="H71" s="308">
        <f>+'Foder-database'!AO47</f>
        <v>0.93267205600496095</v>
      </c>
      <c r="I71" s="223"/>
      <c r="J71" s="223"/>
      <c r="K71" s="223"/>
      <c r="L71" s="223"/>
      <c r="M71" s="223"/>
      <c r="N71" s="223"/>
      <c r="O71" s="223"/>
      <c r="P71" s="223"/>
      <c r="Q71" s="223"/>
      <c r="R71" s="223"/>
    </row>
    <row r="72" spans="1:18" ht="16.5" thickBot="1" x14ac:dyDescent="0.3">
      <c r="A72" s="4"/>
      <c r="B72" s="316" t="s">
        <v>243</v>
      </c>
      <c r="C72" s="312">
        <f>C75*C68+C76*C69+C77*C70+C78*C71</f>
        <v>0.52600788717201996</v>
      </c>
      <c r="D72" s="312">
        <f t="shared" ref="D72:F72" si="6">D75*D68+D76*D69+D77*D70+D78*D71</f>
        <v>0.52600788717201996</v>
      </c>
      <c r="E72" s="312">
        <f t="shared" si="6"/>
        <v>0.52600788717201996</v>
      </c>
      <c r="F72" s="312">
        <f t="shared" si="6"/>
        <v>0.52600788717201996</v>
      </c>
      <c r="G72" s="312">
        <f t="shared" ref="G72" si="7">G75*G68+G76*G69+G77*G70+G78*G71</f>
        <v>0.48470668957212892</v>
      </c>
      <c r="H72" s="312">
        <f t="shared" ref="H72" si="8">H75*H68+H76*H69+H77*H70+H78*H71</f>
        <v>0.93267205600496095</v>
      </c>
      <c r="I72" s="223"/>
      <c r="J72" s="223"/>
      <c r="K72" s="223"/>
      <c r="L72" s="223"/>
      <c r="M72" s="223"/>
      <c r="N72" s="223"/>
      <c r="O72" s="223"/>
      <c r="P72" s="223"/>
      <c r="Q72" s="223"/>
      <c r="R72" s="223"/>
    </row>
    <row r="73" spans="1:18" ht="19.5" thickBot="1" x14ac:dyDescent="0.35">
      <c r="A73" s="4"/>
      <c r="B73" s="246" t="s">
        <v>59</v>
      </c>
      <c r="C73" s="57">
        <f t="shared" ref="C73:H73" si="9">+C49</f>
        <v>1</v>
      </c>
      <c r="D73" s="57">
        <f t="shared" si="9"/>
        <v>2</v>
      </c>
      <c r="E73" s="57">
        <f t="shared" si="9"/>
        <v>3</v>
      </c>
      <c r="F73" s="58">
        <f t="shared" si="9"/>
        <v>4</v>
      </c>
      <c r="G73" s="58">
        <f t="shared" si="9"/>
        <v>5</v>
      </c>
      <c r="H73" s="58">
        <f t="shared" si="9"/>
        <v>6</v>
      </c>
      <c r="I73" s="223"/>
      <c r="J73" s="223"/>
      <c r="K73" s="223"/>
      <c r="L73" s="223"/>
      <c r="M73" s="223"/>
      <c r="N73" s="223"/>
      <c r="O73" s="223"/>
      <c r="P73" s="223"/>
      <c r="Q73" s="223"/>
      <c r="R73" s="223"/>
    </row>
    <row r="74" spans="1:18" ht="18.75" x14ac:dyDescent="0.3">
      <c r="B74" s="252" t="s">
        <v>66</v>
      </c>
      <c r="C74" s="255"/>
      <c r="D74" s="180"/>
      <c r="E74" s="180"/>
      <c r="F74" s="174"/>
      <c r="G74" s="180"/>
      <c r="H74" s="44"/>
      <c r="I74" s="223"/>
      <c r="J74" s="223"/>
      <c r="K74" s="223"/>
      <c r="L74" s="223"/>
      <c r="M74" s="223"/>
      <c r="N74" s="223"/>
      <c r="O74" s="223"/>
      <c r="P74" s="223"/>
      <c r="Q74" s="223"/>
      <c r="R74" s="223"/>
    </row>
    <row r="75" spans="1:18" x14ac:dyDescent="0.25">
      <c r="B75" s="253" t="s">
        <v>57</v>
      </c>
      <c r="C75" s="256">
        <v>0</v>
      </c>
      <c r="D75" s="244">
        <v>0</v>
      </c>
      <c r="E75" s="244">
        <v>0</v>
      </c>
      <c r="F75" s="245">
        <v>0</v>
      </c>
      <c r="G75" s="244">
        <v>0</v>
      </c>
      <c r="H75" s="249">
        <v>0</v>
      </c>
      <c r="I75" s="223"/>
      <c r="J75" s="223"/>
      <c r="K75" s="223"/>
      <c r="L75" s="223"/>
      <c r="M75" s="223"/>
      <c r="N75" s="223"/>
      <c r="O75" s="223"/>
      <c r="P75" s="223"/>
      <c r="Q75" s="223"/>
      <c r="R75" s="223"/>
    </row>
    <row r="76" spans="1:18" x14ac:dyDescent="0.25">
      <c r="B76" s="253" t="s">
        <v>65</v>
      </c>
      <c r="C76" s="256">
        <v>0</v>
      </c>
      <c r="D76" s="244">
        <v>0</v>
      </c>
      <c r="E76" s="244">
        <v>0</v>
      </c>
      <c r="F76" s="245">
        <v>0</v>
      </c>
      <c r="G76" s="244">
        <v>0</v>
      </c>
      <c r="H76" s="249">
        <v>0</v>
      </c>
      <c r="I76" s="223"/>
      <c r="J76" s="223"/>
      <c r="K76" s="223"/>
      <c r="L76" s="223"/>
      <c r="M76" s="223"/>
      <c r="N76" s="223"/>
      <c r="O76" s="223"/>
      <c r="P76" s="223"/>
      <c r="Q76" s="223"/>
      <c r="R76" s="223"/>
    </row>
    <row r="77" spans="1:18" x14ac:dyDescent="0.25">
      <c r="B77" s="254" t="s">
        <v>55</v>
      </c>
      <c r="C77" s="256">
        <v>0.5</v>
      </c>
      <c r="D77" s="244">
        <v>0.5</v>
      </c>
      <c r="E77" s="244">
        <v>0.5</v>
      </c>
      <c r="F77" s="245">
        <v>0.5</v>
      </c>
      <c r="G77" s="244">
        <v>0.5</v>
      </c>
      <c r="H77" s="249">
        <v>0.5</v>
      </c>
      <c r="I77" s="223"/>
      <c r="J77" s="223"/>
      <c r="K77" s="223"/>
      <c r="L77" s="223"/>
      <c r="M77" s="223"/>
      <c r="N77" s="223"/>
      <c r="O77" s="223"/>
      <c r="P77" s="223"/>
      <c r="Q77" s="223"/>
      <c r="R77" s="223"/>
    </row>
    <row r="78" spans="1:18" ht="16.5" thickBot="1" x14ac:dyDescent="0.3">
      <c r="B78" s="254" t="s">
        <v>56</v>
      </c>
      <c r="C78" s="256">
        <v>0.5</v>
      </c>
      <c r="D78" s="244">
        <v>0.5</v>
      </c>
      <c r="E78" s="244">
        <v>0.5</v>
      </c>
      <c r="F78" s="245">
        <v>0.5</v>
      </c>
      <c r="G78" s="244">
        <v>0.5</v>
      </c>
      <c r="H78" s="249">
        <v>0.5</v>
      </c>
      <c r="I78" s="223"/>
      <c r="J78" s="223"/>
      <c r="K78" s="223"/>
      <c r="L78" s="223"/>
      <c r="M78" s="223"/>
      <c r="N78" s="223"/>
      <c r="O78" s="223"/>
      <c r="P78" s="223"/>
      <c r="Q78" s="223"/>
      <c r="R78" s="223"/>
    </row>
    <row r="79" spans="1:18" ht="16.5" thickBot="1" x14ac:dyDescent="0.3">
      <c r="B79" s="317" t="s">
        <v>58</v>
      </c>
      <c r="C79" s="288">
        <f>+C75+C76+C77+C78</f>
        <v>1</v>
      </c>
      <c r="D79" s="289">
        <f t="shared" ref="D79:F79" si="10">+D75+D76+D77+D78</f>
        <v>1</v>
      </c>
      <c r="E79" s="289">
        <f t="shared" si="10"/>
        <v>1</v>
      </c>
      <c r="F79" s="290">
        <f t="shared" si="10"/>
        <v>1</v>
      </c>
      <c r="G79" s="289">
        <f t="shared" ref="G79:H79" si="11">+G75+G76+G77+G78</f>
        <v>1</v>
      </c>
      <c r="H79" s="291">
        <f t="shared" si="11"/>
        <v>1</v>
      </c>
      <c r="I79" s="223"/>
      <c r="J79" s="223"/>
      <c r="K79" s="223"/>
      <c r="L79" s="223"/>
      <c r="M79" s="223"/>
      <c r="N79" s="223"/>
      <c r="O79" s="223"/>
      <c r="P79" s="223"/>
      <c r="Q79" s="223"/>
      <c r="R79" s="223"/>
    </row>
    <row r="80" spans="1:18" x14ac:dyDescent="0.25">
      <c r="B80" s="223"/>
      <c r="C80" s="5"/>
      <c r="D80" s="223"/>
      <c r="E80" s="223"/>
      <c r="F80" s="223"/>
      <c r="G80" s="223"/>
      <c r="H80" s="223"/>
      <c r="I80" s="223"/>
      <c r="J80" s="223"/>
      <c r="K80" s="223"/>
      <c r="L80" s="223"/>
      <c r="M80" s="223"/>
      <c r="N80" s="223"/>
      <c r="O80" s="223"/>
      <c r="P80" s="223"/>
      <c r="Q80" s="223"/>
      <c r="R80" s="223"/>
    </row>
    <row r="81" spans="2:18" x14ac:dyDescent="0.25">
      <c r="B81" s="223"/>
      <c r="C81" s="5"/>
      <c r="D81" s="223"/>
      <c r="E81" s="223"/>
      <c r="F81" s="223"/>
      <c r="G81" s="223"/>
      <c r="H81" s="223"/>
      <c r="I81" s="223"/>
      <c r="J81" s="223"/>
      <c r="K81" s="223"/>
      <c r="L81" s="223"/>
      <c r="M81" s="223"/>
      <c r="N81" s="223"/>
      <c r="O81" s="223"/>
      <c r="P81" s="223"/>
      <c r="Q81" s="223"/>
      <c r="R81" s="223"/>
    </row>
    <row r="82" spans="2:18" x14ac:dyDescent="0.25">
      <c r="B82" s="223"/>
      <c r="C82" s="5"/>
      <c r="D82" s="223"/>
      <c r="E82" s="223"/>
      <c r="F82" s="223"/>
      <c r="G82" s="223"/>
      <c r="H82" s="223"/>
      <c r="I82" s="223"/>
      <c r="J82" s="223"/>
      <c r="K82" s="223"/>
      <c r="L82" s="223"/>
      <c r="M82" s="223"/>
      <c r="N82" s="223"/>
      <c r="O82" s="223"/>
      <c r="P82" s="223"/>
      <c r="Q82" s="223"/>
      <c r="R82" s="223"/>
    </row>
    <row r="83" spans="2:18" x14ac:dyDescent="0.25">
      <c r="B83" s="223"/>
      <c r="C83" s="5"/>
      <c r="D83" s="223"/>
      <c r="E83" s="223"/>
      <c r="F83" s="223"/>
      <c r="G83" s="223"/>
      <c r="H83" s="223"/>
      <c r="I83" s="223"/>
      <c r="J83" s="223"/>
      <c r="K83" s="223"/>
      <c r="L83" s="223"/>
      <c r="M83" s="223"/>
      <c r="N83" s="223"/>
      <c r="O83" s="223"/>
      <c r="P83" s="223"/>
      <c r="Q83" s="223"/>
      <c r="R83" s="223"/>
    </row>
    <row r="84" spans="2:18" x14ac:dyDescent="0.25">
      <c r="B84" s="223"/>
      <c r="C84" s="5"/>
      <c r="D84" s="223"/>
      <c r="E84" s="223"/>
      <c r="F84" s="223"/>
      <c r="G84" s="223"/>
      <c r="H84" s="223"/>
      <c r="I84" s="223"/>
      <c r="J84" s="223"/>
      <c r="K84" s="223"/>
      <c r="L84" s="223"/>
      <c r="M84" s="223"/>
      <c r="N84" s="223"/>
      <c r="O84" s="223"/>
      <c r="P84" s="223"/>
      <c r="Q84" s="223"/>
      <c r="R84" s="223"/>
    </row>
    <row r="85" spans="2:18" x14ac:dyDescent="0.25">
      <c r="B85" s="223"/>
      <c r="C85" s="5"/>
      <c r="D85" s="223"/>
      <c r="E85" s="223"/>
      <c r="F85" s="223"/>
      <c r="G85" s="223"/>
      <c r="H85" s="223"/>
      <c r="I85" s="223"/>
      <c r="J85" s="223"/>
      <c r="K85" s="223"/>
      <c r="L85" s="223"/>
      <c r="M85" s="223"/>
      <c r="N85" s="223"/>
      <c r="O85" s="223"/>
      <c r="P85" s="223"/>
      <c r="Q85" s="223"/>
      <c r="R85" s="223"/>
    </row>
    <row r="86" spans="2:18" x14ac:dyDescent="0.25">
      <c r="B86" s="223"/>
      <c r="C86" s="5"/>
      <c r="D86" s="223"/>
      <c r="E86" s="223"/>
      <c r="F86" s="223"/>
      <c r="G86" s="223"/>
      <c r="H86" s="223"/>
      <c r="I86" s="223"/>
      <c r="J86" s="223"/>
      <c r="K86" s="223"/>
      <c r="L86" s="223"/>
      <c r="M86" s="223"/>
      <c r="N86" s="223"/>
      <c r="O86" s="223"/>
      <c r="P86" s="223"/>
      <c r="Q86" s="223"/>
      <c r="R86" s="223"/>
    </row>
    <row r="87" spans="2:18" x14ac:dyDescent="0.25">
      <c r="B87" s="223"/>
      <c r="C87" s="5"/>
      <c r="D87" s="223"/>
      <c r="E87" s="223"/>
      <c r="F87" s="223"/>
      <c r="G87" s="223"/>
      <c r="H87" s="223"/>
      <c r="I87" s="223"/>
      <c r="J87" s="223"/>
      <c r="K87" s="223"/>
      <c r="L87" s="223"/>
      <c r="M87" s="223"/>
      <c r="N87" s="223"/>
      <c r="O87" s="223"/>
      <c r="P87" s="223"/>
      <c r="Q87" s="223"/>
      <c r="R87" s="223"/>
    </row>
    <row r="88" spans="2:18" x14ac:dyDescent="0.25">
      <c r="B88" s="223"/>
      <c r="C88" s="5"/>
      <c r="D88" s="223"/>
      <c r="E88" s="223"/>
      <c r="F88" s="223"/>
      <c r="G88" s="223"/>
      <c r="H88" s="223"/>
      <c r="I88" s="223"/>
      <c r="J88" s="223"/>
      <c r="K88" s="223"/>
      <c r="L88" s="223"/>
      <c r="M88" s="223"/>
      <c r="N88" s="223"/>
      <c r="O88" s="223"/>
      <c r="P88" s="223"/>
      <c r="Q88" s="223"/>
      <c r="R88" s="223"/>
    </row>
    <row r="89" spans="2:18" x14ac:dyDescent="0.25">
      <c r="B89" s="223"/>
      <c r="C89" s="5"/>
      <c r="D89" s="223"/>
      <c r="E89" s="223"/>
      <c r="F89" s="223"/>
      <c r="G89" s="223"/>
      <c r="H89" s="223"/>
      <c r="I89" s="223"/>
      <c r="J89" s="223"/>
      <c r="K89" s="223"/>
      <c r="L89" s="223"/>
      <c r="M89" s="223"/>
      <c r="N89" s="223"/>
      <c r="O89" s="223"/>
      <c r="P89" s="223"/>
      <c r="Q89" s="223"/>
      <c r="R89" s="223"/>
    </row>
    <row r="90" spans="2:18" x14ac:dyDescent="0.25">
      <c r="B90" s="223"/>
      <c r="C90" s="5"/>
      <c r="D90" s="223"/>
      <c r="E90" s="223"/>
      <c r="F90" s="223"/>
      <c r="G90" s="223"/>
      <c r="H90" s="223"/>
      <c r="I90" s="223"/>
      <c r="J90" s="223"/>
      <c r="K90" s="223"/>
      <c r="L90" s="223"/>
      <c r="M90" s="223"/>
      <c r="N90" s="223"/>
      <c r="O90" s="223"/>
      <c r="P90" s="223"/>
      <c r="Q90" s="223"/>
      <c r="R90" s="223"/>
    </row>
    <row r="91" spans="2:18" x14ac:dyDescent="0.25">
      <c r="B91" s="223"/>
      <c r="C91" s="5"/>
      <c r="D91" s="223"/>
      <c r="E91" s="223"/>
      <c r="F91" s="223"/>
      <c r="G91" s="223"/>
      <c r="H91" s="223"/>
      <c r="I91" s="223"/>
      <c r="J91" s="223"/>
      <c r="K91" s="223"/>
      <c r="L91" s="223"/>
      <c r="M91" s="223"/>
      <c r="N91" s="223"/>
      <c r="O91" s="223"/>
      <c r="P91" s="223"/>
      <c r="Q91" s="223"/>
      <c r="R91" s="223"/>
    </row>
    <row r="92" spans="2:18" x14ac:dyDescent="0.25">
      <c r="B92" s="223"/>
      <c r="C92" s="5"/>
      <c r="D92" s="223"/>
      <c r="E92" s="223"/>
      <c r="F92" s="223"/>
      <c r="G92" s="223"/>
      <c r="H92" s="223"/>
      <c r="I92" s="223"/>
      <c r="J92" s="223"/>
      <c r="K92" s="223"/>
      <c r="L92" s="223"/>
      <c r="M92" s="223"/>
      <c r="N92" s="223"/>
      <c r="O92" s="223"/>
      <c r="P92" s="223"/>
      <c r="Q92" s="223"/>
      <c r="R92" s="223"/>
    </row>
    <row r="93" spans="2:18" x14ac:dyDescent="0.25">
      <c r="B93" s="223"/>
      <c r="C93" s="5"/>
      <c r="D93" s="223"/>
      <c r="E93" s="223"/>
      <c r="F93" s="223"/>
      <c r="G93" s="223"/>
      <c r="H93" s="223"/>
      <c r="I93" s="223"/>
      <c r="J93" s="223"/>
      <c r="K93" s="223"/>
      <c r="L93" s="223"/>
      <c r="M93" s="223"/>
      <c r="N93" s="223"/>
      <c r="O93" s="223"/>
      <c r="P93" s="223"/>
      <c r="Q93" s="223"/>
      <c r="R93" s="223"/>
    </row>
    <row r="94" spans="2:18" x14ac:dyDescent="0.25">
      <c r="B94" s="223"/>
      <c r="C94" s="5"/>
      <c r="D94" s="223"/>
      <c r="E94" s="223"/>
      <c r="F94" s="223"/>
      <c r="G94" s="223"/>
      <c r="H94" s="223"/>
      <c r="I94" s="223"/>
      <c r="J94" s="223"/>
      <c r="K94" s="223"/>
      <c r="L94" s="223"/>
      <c r="M94" s="223"/>
      <c r="N94" s="223"/>
      <c r="O94" s="223"/>
      <c r="P94" s="223"/>
      <c r="Q94" s="223"/>
      <c r="R94" s="223"/>
    </row>
  </sheetData>
  <mergeCells count="1">
    <mergeCell ref="B1:H1"/>
  </mergeCells>
  <hyperlinks>
    <hyperlink ref="C9" r:id="rId1" xr:uid="{C355E51E-5DAA-4E27-9468-50B13D53ED0B}"/>
  </hyperlinks>
  <pageMargins left="0.7" right="0.7" top="0.75" bottom="0.75" header="0.3" footer="0.3"/>
  <pageSetup paperSize="9" scale="48" orientation="portrait"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50E572F2-D24D-483C-9C72-8850E8870CB1}">
          <x14:formula1>
            <xm:f>'Rulle lister'!$A$2:$A$7</xm:f>
          </x14:formula1>
          <xm:sqref>C23:H23</xm:sqref>
        </x14:dataValidation>
        <x14:dataValidation type="list" allowBlank="1" showInputMessage="1" showErrorMessage="1" xr:uid="{7D76D1C6-EBA0-4EF6-AF90-BF741A40AF1F}">
          <x14:formula1>
            <xm:f>'Rulle lister'!$A$14:$A$16</xm:f>
          </x14:formula1>
          <xm:sqref>C25:H25</xm:sqref>
        </x14:dataValidation>
        <x14:dataValidation type="list" allowBlank="1" showInputMessage="1" showErrorMessage="1" xr:uid="{BF2BE548-A7FC-4B64-A7BD-67368A206B9E}">
          <x14:formula1>
            <xm:f>'Rulle lister'!$A$9:$A$12</xm:f>
          </x14:formula1>
          <xm:sqref>C24:H24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8DAD1-56B9-0842-B105-04B0386F8B16}">
  <sheetPr>
    <tabColor theme="4"/>
    <pageSetUpPr fitToPage="1"/>
  </sheetPr>
  <dimension ref="A1:AA197"/>
  <sheetViews>
    <sheetView zoomScale="66" zoomScaleNormal="66" workbookViewId="0">
      <selection activeCell="J18" sqref="J18"/>
    </sheetView>
  </sheetViews>
  <sheetFormatPr defaultColWidth="11" defaultRowHeight="15.75" x14ac:dyDescent="0.25"/>
  <cols>
    <col min="1" max="1" width="5" style="331" customWidth="1"/>
    <col min="2" max="2" width="70.375" customWidth="1"/>
    <col min="7" max="7" width="12.125" customWidth="1"/>
    <col min="8" max="8" width="13.5" customWidth="1"/>
    <col min="9" max="9" width="5" style="331" customWidth="1"/>
    <col min="25" max="25" width="12.875" customWidth="1"/>
  </cols>
  <sheetData>
    <row r="1" spans="1:25" ht="36.75" customHeight="1" x14ac:dyDescent="0.4">
      <c r="A1" s="324"/>
      <c r="B1" s="387" t="s">
        <v>215</v>
      </c>
      <c r="C1" s="387"/>
      <c r="D1" s="387"/>
      <c r="E1" s="387"/>
      <c r="F1" s="387"/>
      <c r="G1" s="387"/>
      <c r="H1" s="388"/>
      <c r="I1" s="324"/>
      <c r="K1" s="338"/>
      <c r="L1" s="368" t="s">
        <v>217</v>
      </c>
      <c r="M1" s="368"/>
      <c r="N1" s="368"/>
      <c r="O1" s="368"/>
      <c r="P1" s="368"/>
      <c r="Q1" s="368"/>
      <c r="R1" s="368"/>
      <c r="S1" s="368"/>
      <c r="T1" s="368"/>
      <c r="U1" s="368"/>
      <c r="V1" s="368"/>
      <c r="W1" s="368"/>
      <c r="X1" s="368"/>
      <c r="Y1" s="368"/>
    </row>
    <row r="2" spans="1:25" ht="24" thickBot="1" x14ac:dyDescent="0.4">
      <c r="A2" s="324"/>
      <c r="B2" s="384" t="str">
        <f>+'Produktionsdata input'!C7</f>
        <v>Testgården</v>
      </c>
      <c r="C2" s="384"/>
      <c r="D2" s="384"/>
      <c r="E2" s="384"/>
      <c r="F2" s="384"/>
      <c r="G2" s="384"/>
      <c r="H2" s="385"/>
      <c r="I2" s="324"/>
      <c r="K2" s="322"/>
      <c r="L2" s="322"/>
      <c r="M2" s="322"/>
      <c r="N2" s="322"/>
      <c r="O2" s="322"/>
      <c r="P2" s="322"/>
      <c r="Q2" s="322"/>
      <c r="R2" s="322"/>
      <c r="S2" s="322"/>
      <c r="T2" s="322"/>
      <c r="U2" s="322"/>
      <c r="V2" s="322"/>
      <c r="W2" s="322"/>
      <c r="X2" s="322"/>
      <c r="Y2" s="322"/>
    </row>
    <row r="3" spans="1:25" ht="78.75" customHeight="1" thickBot="1" x14ac:dyDescent="0.4">
      <c r="A3" s="324"/>
      <c r="B3" s="328" t="s">
        <v>75</v>
      </c>
      <c r="C3" s="148">
        <f>+Beregningmotor!C11</f>
        <v>1</v>
      </c>
      <c r="D3" s="149">
        <f>+Beregningmotor!D11</f>
        <v>2</v>
      </c>
      <c r="E3" s="149">
        <f>+Beregningmotor!E11</f>
        <v>3</v>
      </c>
      <c r="F3" s="150">
        <f>+Beregningmotor!F11</f>
        <v>4</v>
      </c>
      <c r="G3" s="151" t="s">
        <v>158</v>
      </c>
      <c r="H3" s="147" t="s">
        <v>95</v>
      </c>
      <c r="I3" s="324"/>
      <c r="K3" s="322"/>
      <c r="L3" s="322"/>
      <c r="M3" s="322"/>
      <c r="N3" s="322"/>
      <c r="O3" s="322"/>
      <c r="P3" s="322"/>
      <c r="Q3" s="322"/>
      <c r="R3" s="322"/>
      <c r="S3" s="322"/>
      <c r="T3" s="322"/>
      <c r="U3" s="322"/>
      <c r="V3" s="322"/>
      <c r="W3" s="322"/>
      <c r="X3" s="322"/>
      <c r="Y3" s="322"/>
    </row>
    <row r="4" spans="1:25" ht="23.25" x14ac:dyDescent="0.35">
      <c r="A4" s="324"/>
      <c r="B4" s="152" t="s">
        <v>239</v>
      </c>
      <c r="C4" s="153">
        <f>+Beregningmotor!C27</f>
        <v>99.987800000000007</v>
      </c>
      <c r="D4" s="154">
        <f>+Beregningmotor!D27</f>
        <v>99.987800000000007</v>
      </c>
      <c r="E4" s="154">
        <f>+Beregningmotor!E27</f>
        <v>99.987800000000007</v>
      </c>
      <c r="F4" s="155">
        <f>+Beregningmotor!F27</f>
        <v>99.987800000000007</v>
      </c>
      <c r="G4" s="155">
        <f>+Beregningmotor!G27</f>
        <v>99.987800000000007</v>
      </c>
      <c r="H4" s="332">
        <f>+Beregningmotor!H27</f>
        <v>100</v>
      </c>
      <c r="I4" s="324"/>
      <c r="K4" s="322"/>
      <c r="L4" s="322"/>
      <c r="M4" s="322"/>
      <c r="N4" s="322"/>
      <c r="O4" s="322"/>
      <c r="P4" s="322"/>
      <c r="Q4" s="322"/>
      <c r="R4" s="322"/>
      <c r="S4" s="322"/>
      <c r="T4" s="322"/>
      <c r="U4" s="322"/>
      <c r="V4" s="322"/>
      <c r="W4" s="322"/>
      <c r="X4" s="322"/>
      <c r="Y4" s="322"/>
    </row>
    <row r="5" spans="1:25" ht="23.25" x14ac:dyDescent="0.35">
      <c r="A5" s="324"/>
      <c r="B5" s="152" t="str">
        <f>+Beregningmotor!B28</f>
        <v>Foderforbrug</v>
      </c>
      <c r="C5" s="153">
        <f>+Beregningmotor!C28</f>
        <v>118.87357443777913</v>
      </c>
      <c r="D5" s="154">
        <f>+Beregningmotor!D28</f>
        <v>118.87357443777913</v>
      </c>
      <c r="E5" s="154">
        <f>+Beregningmotor!E28</f>
        <v>118.87357443777913</v>
      </c>
      <c r="F5" s="155">
        <f>+Beregningmotor!F28</f>
        <v>118.87357443777913</v>
      </c>
      <c r="G5" s="155">
        <f>+Beregningmotor!G28</f>
        <v>118.87357443777913</v>
      </c>
      <c r="H5" s="153">
        <f>+Beregningmotor!H28</f>
        <v>118.87357443777913</v>
      </c>
      <c r="I5" s="324"/>
      <c r="K5" s="322"/>
      <c r="L5" s="322"/>
      <c r="M5" s="322"/>
      <c r="N5" s="322"/>
      <c r="O5" s="322"/>
      <c r="P5" s="322"/>
      <c r="Q5" s="322"/>
      <c r="R5" s="322"/>
      <c r="S5" s="322"/>
      <c r="T5" s="322"/>
      <c r="U5" s="322"/>
      <c r="V5" s="322"/>
      <c r="W5" s="322"/>
      <c r="X5" s="322"/>
      <c r="Y5" s="322"/>
    </row>
    <row r="6" spans="1:25" ht="23.25" x14ac:dyDescent="0.35">
      <c r="A6" s="324"/>
      <c r="B6" s="152" t="str">
        <f>+Beregningmotor!B29</f>
        <v>Energi</v>
      </c>
      <c r="C6" s="153">
        <f>+Beregningmotor!C29</f>
        <v>4.8</v>
      </c>
      <c r="D6" s="154">
        <f>+Beregningmotor!D29</f>
        <v>4.8</v>
      </c>
      <c r="E6" s="154">
        <f>+Beregningmotor!E29</f>
        <v>4.8</v>
      </c>
      <c r="F6" s="155">
        <f>+Beregningmotor!F29</f>
        <v>4.8</v>
      </c>
      <c r="G6" s="155">
        <f>+Beregningmotor!G29</f>
        <v>4.8</v>
      </c>
      <c r="H6" s="153">
        <f>+Beregningmotor!H29</f>
        <v>4.8</v>
      </c>
      <c r="I6" s="324"/>
      <c r="K6" s="322"/>
      <c r="L6" s="322"/>
      <c r="M6" s="322"/>
      <c r="N6" s="322"/>
      <c r="O6" s="322"/>
      <c r="P6" s="322"/>
      <c r="Q6" s="322"/>
      <c r="R6" s="322"/>
      <c r="S6" s="322"/>
      <c r="T6" s="322"/>
      <c r="U6" s="322"/>
      <c r="V6" s="322"/>
      <c r="W6" s="322"/>
      <c r="X6" s="322"/>
      <c r="Y6" s="322"/>
    </row>
    <row r="7" spans="1:25" ht="23.25" x14ac:dyDescent="0.35">
      <c r="A7" s="324"/>
      <c r="B7" s="152" t="str">
        <f>+Beregningmotor!B30</f>
        <v xml:space="preserve">Fordøjelse </v>
      </c>
      <c r="C7" s="153">
        <f>+Beregningmotor!C30</f>
        <v>10.6</v>
      </c>
      <c r="D7" s="154">
        <f>+Beregningmotor!D30</f>
        <v>10.6</v>
      </c>
      <c r="E7" s="154">
        <f>+Beregningmotor!E30</f>
        <v>10.6</v>
      </c>
      <c r="F7" s="155">
        <f>+Beregningmotor!F30</f>
        <v>10.6</v>
      </c>
      <c r="G7" s="155">
        <f>+Beregningmotor!G30</f>
        <v>10.6</v>
      </c>
      <c r="H7" s="153">
        <f>+Beregningmotor!H30</f>
        <v>10.6</v>
      </c>
      <c r="I7" s="324"/>
      <c r="K7" s="322"/>
      <c r="L7" s="322"/>
      <c r="M7" s="322"/>
      <c r="N7" s="322"/>
      <c r="O7" s="322"/>
      <c r="P7" s="322"/>
      <c r="Q7" s="322"/>
      <c r="R7" s="322"/>
      <c r="S7" s="322"/>
      <c r="T7" s="322"/>
      <c r="U7" s="322"/>
      <c r="V7" s="322"/>
      <c r="W7" s="322"/>
      <c r="X7" s="322"/>
      <c r="Y7" s="322"/>
    </row>
    <row r="8" spans="1:25" ht="20.25" customHeight="1" x14ac:dyDescent="0.35">
      <c r="A8" s="324"/>
      <c r="B8" s="152" t="str">
        <f>+Beregningmotor!B32</f>
        <v>Stald og gylleopbevaring (gødninmgsproduktion)</v>
      </c>
      <c r="C8" s="153">
        <f>+Beregningmotor!C32</f>
        <v>47.4</v>
      </c>
      <c r="D8" s="154">
        <f>+Beregningmotor!D32</f>
        <v>47.4</v>
      </c>
      <c r="E8" s="154">
        <f>+Beregningmotor!E32</f>
        <v>47.4</v>
      </c>
      <c r="F8" s="155">
        <f>+Beregningmotor!F32</f>
        <v>47.4</v>
      </c>
      <c r="G8" s="155">
        <f>+Beregningmotor!G32</f>
        <v>47.4</v>
      </c>
      <c r="H8" s="153">
        <f>+Beregningmotor!H32</f>
        <v>47.4</v>
      </c>
      <c r="I8" s="324"/>
      <c r="K8" s="322"/>
      <c r="L8" s="322"/>
      <c r="M8" s="322"/>
      <c r="N8" s="322"/>
      <c r="O8" s="322"/>
      <c r="P8" s="322"/>
      <c r="Q8" s="322"/>
      <c r="R8" s="322"/>
      <c r="S8" s="322"/>
      <c r="T8" s="322"/>
      <c r="U8" s="322"/>
      <c r="V8" s="322"/>
      <c r="W8" s="322"/>
      <c r="X8" s="322"/>
      <c r="Y8" s="322"/>
    </row>
    <row r="9" spans="1:25" ht="23.25" hidden="1" x14ac:dyDescent="0.35">
      <c r="A9" s="324"/>
      <c r="B9" s="152" t="e">
        <f>+Beregningmotor!#REF!</f>
        <v>#REF!</v>
      </c>
      <c r="C9" s="153" t="e">
        <f>+Beregningmotor!#REF!</f>
        <v>#REF!</v>
      </c>
      <c r="D9" s="154" t="e">
        <f>+Beregningmotor!#REF!</f>
        <v>#REF!</v>
      </c>
      <c r="E9" s="154" t="e">
        <f>+Beregningmotor!#REF!</f>
        <v>#REF!</v>
      </c>
      <c r="F9" s="155" t="e">
        <f>+Beregningmotor!#REF!</f>
        <v>#REF!</v>
      </c>
      <c r="G9" s="155" t="e">
        <f>+Beregningmotor!#REF!</f>
        <v>#REF!</v>
      </c>
      <c r="H9" s="153" t="e">
        <f>+Beregningmotor!#REF!</f>
        <v>#REF!</v>
      </c>
      <c r="I9" s="324"/>
      <c r="K9" s="322"/>
      <c r="L9" s="322"/>
      <c r="M9" s="322"/>
      <c r="N9" s="322"/>
      <c r="O9" s="322"/>
      <c r="P9" s="322"/>
      <c r="Q9" s="322"/>
      <c r="R9" s="322"/>
      <c r="S9" s="322"/>
      <c r="T9" s="322"/>
      <c r="U9" s="322"/>
      <c r="V9" s="322"/>
      <c r="W9" s="322"/>
      <c r="X9" s="322"/>
      <c r="Y9" s="322"/>
    </row>
    <row r="10" spans="1:25" ht="23.25" x14ac:dyDescent="0.35">
      <c r="A10" s="324"/>
      <c r="B10" s="152" t="str">
        <f>+Beregningmotor!B33</f>
        <v>Strøelse + diverse</v>
      </c>
      <c r="C10" s="153">
        <f>+Beregningmotor!C33</f>
        <v>1</v>
      </c>
      <c r="D10" s="154">
        <f>+Beregningmotor!D33</f>
        <v>1</v>
      </c>
      <c r="E10" s="154">
        <f>+Beregningmotor!E33</f>
        <v>1</v>
      </c>
      <c r="F10" s="155">
        <f>+Beregningmotor!F33</f>
        <v>1</v>
      </c>
      <c r="G10" s="155">
        <f>+Beregningmotor!G33</f>
        <v>1</v>
      </c>
      <c r="H10" s="153">
        <f>+Beregningmotor!H33</f>
        <v>1</v>
      </c>
      <c r="I10" s="324"/>
      <c r="K10" s="322"/>
      <c r="L10" s="322"/>
      <c r="M10" s="322"/>
      <c r="N10" s="322"/>
      <c r="O10" s="322"/>
      <c r="P10" s="322"/>
      <c r="Q10" s="322"/>
      <c r="R10" s="322"/>
      <c r="S10" s="322"/>
      <c r="T10" s="322"/>
      <c r="U10" s="322"/>
      <c r="V10" s="322"/>
      <c r="W10" s="322"/>
      <c r="X10" s="322"/>
      <c r="Y10" s="322"/>
    </row>
    <row r="11" spans="1:25" ht="19.5" customHeight="1" x14ac:dyDescent="0.35">
      <c r="A11" s="324"/>
      <c r="B11" s="152" t="str">
        <f>+Beregningmotor!B34</f>
        <v>Miljøteknologi</v>
      </c>
      <c r="C11" s="153">
        <f>+Beregningmotor!C34</f>
        <v>0</v>
      </c>
      <c r="D11" s="154">
        <f>+Beregningmotor!D34</f>
        <v>0</v>
      </c>
      <c r="E11" s="154">
        <f>+Beregningmotor!E34</f>
        <v>0</v>
      </c>
      <c r="F11" s="155">
        <f>+Beregningmotor!F34</f>
        <v>0</v>
      </c>
      <c r="G11" s="155">
        <f>+Beregningmotor!G34</f>
        <v>0</v>
      </c>
      <c r="H11" s="153">
        <f>+Beregningmotor!H34</f>
        <v>0</v>
      </c>
      <c r="I11" s="324"/>
      <c r="K11" s="322"/>
      <c r="L11" s="322"/>
      <c r="M11" s="322"/>
      <c r="N11" s="322"/>
      <c r="O11" s="322"/>
      <c r="P11" s="322"/>
      <c r="Q11" s="322"/>
      <c r="R11" s="322"/>
      <c r="S11" s="322"/>
      <c r="T11" s="322"/>
      <c r="U11" s="322"/>
      <c r="V11" s="322"/>
      <c r="W11" s="322"/>
      <c r="X11" s="322"/>
      <c r="Y11" s="322"/>
    </row>
    <row r="12" spans="1:25" ht="23.25" x14ac:dyDescent="0.35">
      <c r="A12" s="324"/>
      <c r="B12" s="152" t="str">
        <f>+Beregningmotor!B35</f>
        <v>Gylle håndtering</v>
      </c>
      <c r="C12" s="153">
        <f>+Beregningmotor!C35</f>
        <v>0</v>
      </c>
      <c r="D12" s="154">
        <f>+Beregningmotor!D35</f>
        <v>0</v>
      </c>
      <c r="E12" s="154">
        <f>+Beregningmotor!E35</f>
        <v>0</v>
      </c>
      <c r="F12" s="155">
        <f>+Beregningmotor!F35</f>
        <v>0</v>
      </c>
      <c r="G12" s="155">
        <f>+Beregningmotor!G35</f>
        <v>0</v>
      </c>
      <c r="H12" s="153">
        <f>+Beregningmotor!H35</f>
        <v>0</v>
      </c>
      <c r="I12" s="335"/>
      <c r="K12" s="322"/>
      <c r="L12" s="322"/>
      <c r="M12" s="322"/>
      <c r="N12" s="322"/>
      <c r="O12" s="322"/>
      <c r="P12" s="322"/>
      <c r="Q12" s="322"/>
      <c r="R12" s="322"/>
      <c r="S12" s="322"/>
      <c r="T12" s="322"/>
      <c r="U12" s="322"/>
      <c r="V12" s="322"/>
      <c r="W12" s="322"/>
      <c r="X12" s="322"/>
      <c r="Y12" s="322"/>
    </row>
    <row r="13" spans="1:25" ht="24" thickBot="1" x14ac:dyDescent="0.4">
      <c r="A13" s="324"/>
      <c r="B13" s="152" t="str">
        <f>+Beregningmotor!B36</f>
        <v>Biogas metan -emissioner</v>
      </c>
      <c r="C13" s="153">
        <f>+Beregningmotor!C36</f>
        <v>0</v>
      </c>
      <c r="D13" s="154">
        <f>+Beregningmotor!D36</f>
        <v>0</v>
      </c>
      <c r="E13" s="154">
        <f>+Beregningmotor!E36</f>
        <v>0</v>
      </c>
      <c r="F13" s="155">
        <f>+Beregningmotor!F36</f>
        <v>0</v>
      </c>
      <c r="G13" s="155">
        <f>+Beregningmotor!G36</f>
        <v>0</v>
      </c>
      <c r="H13" s="153">
        <f>+Beregningmotor!H36</f>
        <v>0</v>
      </c>
      <c r="I13" s="324"/>
      <c r="K13" s="322"/>
      <c r="L13" s="322"/>
      <c r="M13" s="322"/>
      <c r="N13" s="322"/>
      <c r="O13" s="322"/>
      <c r="P13" s="322"/>
      <c r="Q13" s="322"/>
      <c r="R13" s="322"/>
      <c r="S13" s="322"/>
      <c r="T13" s="322"/>
      <c r="U13" s="322"/>
      <c r="V13" s="322"/>
      <c r="W13" s="322"/>
      <c r="X13" s="322"/>
      <c r="Y13" s="322"/>
    </row>
    <row r="14" spans="1:25" ht="24" thickBot="1" x14ac:dyDescent="0.4">
      <c r="A14" s="324"/>
      <c r="B14" s="401" t="s">
        <v>211</v>
      </c>
      <c r="C14" s="407">
        <f>+Beregningmotor!C37</f>
        <v>282.66137443777916</v>
      </c>
      <c r="D14" s="408">
        <f>+Beregningmotor!D37</f>
        <v>282.66137443777916</v>
      </c>
      <c r="E14" s="408">
        <f>+Beregningmotor!E37</f>
        <v>282.66137443777916</v>
      </c>
      <c r="F14" s="408">
        <f>+Beregningmotor!F37</f>
        <v>282.66137443777916</v>
      </c>
      <c r="G14" s="409">
        <f>+Beregningmotor!G37</f>
        <v>282.66137443777916</v>
      </c>
      <c r="H14" s="410">
        <f>+Beregningmotor!H37</f>
        <v>282.67357443777911</v>
      </c>
      <c r="I14" s="324"/>
      <c r="K14" s="322"/>
      <c r="L14" s="322"/>
      <c r="M14" s="322"/>
      <c r="N14" s="322"/>
      <c r="O14" s="322"/>
      <c r="P14" s="322"/>
      <c r="Q14" s="322"/>
      <c r="R14" s="322"/>
      <c r="S14" s="322"/>
      <c r="T14" s="322"/>
      <c r="U14" s="322"/>
      <c r="V14" s="322"/>
      <c r="W14" s="322"/>
      <c r="X14" s="322"/>
      <c r="Y14" s="322"/>
    </row>
    <row r="15" spans="1:25" ht="23.25" x14ac:dyDescent="0.35">
      <c r="A15" s="324"/>
      <c r="B15" s="329" t="s">
        <v>212</v>
      </c>
      <c r="C15" s="400">
        <f>+C14/Beregningmotor!C18</f>
        <v>2.4519550176767795</v>
      </c>
      <c r="D15" s="400">
        <f>+D14/Beregningmotor!D18</f>
        <v>2.4519550176767795</v>
      </c>
      <c r="E15" s="400">
        <f>+E14/Beregningmotor!E18</f>
        <v>2.4519550176767795</v>
      </c>
      <c r="F15" s="400">
        <f>+F14/Beregningmotor!F18</f>
        <v>2.4519550176767795</v>
      </c>
      <c r="G15" s="411">
        <f>+Beregningmotor!L37</f>
        <v>2.451955017676779</v>
      </c>
      <c r="H15" s="411">
        <f>+Beregningmotor!H39</f>
        <v>2.4520608469619978</v>
      </c>
      <c r="I15" s="324"/>
      <c r="K15" s="322"/>
      <c r="L15" s="322"/>
      <c r="M15" s="322"/>
      <c r="N15" s="322"/>
      <c r="O15" s="322"/>
      <c r="P15" s="322"/>
      <c r="Q15" s="322"/>
      <c r="R15" s="322"/>
      <c r="S15" s="322"/>
      <c r="T15" s="322"/>
      <c r="U15" s="322"/>
      <c r="V15" s="322"/>
      <c r="W15" s="322"/>
      <c r="X15" s="322"/>
      <c r="Y15" s="322"/>
    </row>
    <row r="16" spans="1:25" ht="24" thickBot="1" x14ac:dyDescent="0.4">
      <c r="A16" s="324"/>
      <c r="B16" s="328" t="s">
        <v>213</v>
      </c>
      <c r="C16" s="400">
        <f>+C14/Beregningmotor!C17</f>
        <v>3.2120610731565815</v>
      </c>
      <c r="D16" s="400">
        <f>+D14/Beregningmotor!D17</f>
        <v>3.2120610731565815</v>
      </c>
      <c r="E16" s="400">
        <f>+E14/Beregningmotor!E17</f>
        <v>3.2120610731565815</v>
      </c>
      <c r="F16" s="400">
        <f>+F14/Beregningmotor!F17</f>
        <v>3.2120610731565815</v>
      </c>
      <c r="G16" s="411">
        <f>+Beregningmotor!K37</f>
        <v>3.2120610731565811</v>
      </c>
      <c r="H16" s="411">
        <f>+H14/Værktøjskassen!C5</f>
        <v>3.2121997095202173</v>
      </c>
      <c r="I16" s="324"/>
      <c r="K16" s="322"/>
      <c r="L16" s="322"/>
      <c r="M16" s="322"/>
      <c r="N16" s="322"/>
      <c r="O16" s="322"/>
      <c r="P16" s="322"/>
      <c r="Q16" s="322"/>
      <c r="R16" s="322"/>
      <c r="S16" s="322"/>
      <c r="T16" s="322"/>
      <c r="U16" s="322"/>
      <c r="V16" s="322"/>
      <c r="W16" s="322"/>
      <c r="X16" s="322"/>
      <c r="Y16" s="322"/>
    </row>
    <row r="17" spans="1:27" ht="24" thickBot="1" x14ac:dyDescent="0.4">
      <c r="A17" s="324"/>
      <c r="B17" s="386" t="s">
        <v>208</v>
      </c>
      <c r="C17" s="399"/>
      <c r="D17" s="399"/>
      <c r="E17" s="399"/>
      <c r="F17" s="399"/>
      <c r="G17" s="399"/>
      <c r="H17" s="399"/>
      <c r="I17" s="336"/>
      <c r="K17" s="322"/>
      <c r="L17" s="322"/>
      <c r="M17" s="322"/>
      <c r="N17" s="322"/>
      <c r="O17" s="322"/>
      <c r="P17" s="322"/>
      <c r="Q17" s="322"/>
      <c r="R17" s="322"/>
      <c r="S17" s="322"/>
      <c r="T17" s="322"/>
      <c r="U17" s="322"/>
      <c r="V17" s="322"/>
      <c r="W17" s="322"/>
      <c r="X17" s="322"/>
      <c r="Y17" s="322"/>
    </row>
    <row r="18" spans="1:27" ht="36" customHeight="1" thickBot="1" x14ac:dyDescent="0.4">
      <c r="A18" s="324"/>
      <c r="B18" s="375" t="str">
        <f>+Beregningmotor!I13</f>
        <v>Afvigelse til NORM, slagtesvin</v>
      </c>
      <c r="C18" s="383"/>
      <c r="D18" s="374" t="s">
        <v>214</v>
      </c>
      <c r="E18" s="375"/>
      <c r="F18" s="375"/>
      <c r="G18" s="375"/>
      <c r="H18" s="376"/>
      <c r="I18" s="324"/>
      <c r="K18" s="322"/>
      <c r="L18" s="322"/>
      <c r="M18" s="322"/>
      <c r="N18" s="322"/>
      <c r="O18" s="322"/>
      <c r="P18" s="322"/>
      <c r="Q18" s="322"/>
      <c r="R18" s="322"/>
      <c r="S18" s="322"/>
      <c r="T18" s="322"/>
      <c r="U18" s="322"/>
      <c r="V18" s="322"/>
      <c r="W18" s="322"/>
      <c r="X18" s="322"/>
      <c r="Y18" s="322"/>
    </row>
    <row r="19" spans="1:27" ht="23.25" x14ac:dyDescent="0.35">
      <c r="A19" s="324"/>
      <c r="B19" s="329" t="s">
        <v>265</v>
      </c>
      <c r="C19" s="405">
        <f>+Beregningmotor!G28-Beregningmotor!H28</f>
        <v>0</v>
      </c>
      <c r="D19" s="380" t="s">
        <v>262</v>
      </c>
      <c r="E19" s="381"/>
      <c r="F19" s="381"/>
      <c r="G19" s="382"/>
      <c r="H19" s="333">
        <v>20</v>
      </c>
      <c r="I19" s="324"/>
      <c r="K19" s="322"/>
      <c r="L19" s="322"/>
      <c r="M19" s="322"/>
      <c r="N19" s="322"/>
      <c r="O19" s="322"/>
      <c r="P19" s="322"/>
      <c r="Q19" s="322"/>
      <c r="R19" s="322"/>
      <c r="S19" s="322"/>
      <c r="T19" s="322"/>
      <c r="U19" s="322"/>
      <c r="V19" s="322"/>
      <c r="W19" s="322"/>
      <c r="X19" s="322"/>
      <c r="Y19" s="322"/>
    </row>
    <row r="20" spans="1:27" ht="23.25" x14ac:dyDescent="0.35">
      <c r="A20" s="324"/>
      <c r="B20" s="329" t="s">
        <v>260</v>
      </c>
      <c r="C20" s="405">
        <f>+Beregningmotor!G27-Beregningmotor!H27</f>
        <v>-1.2199999999992883E-2</v>
      </c>
      <c r="D20" s="369" t="s">
        <v>83</v>
      </c>
      <c r="E20" s="370"/>
      <c r="F20" s="370"/>
      <c r="G20" s="371"/>
      <c r="H20" s="334">
        <v>7.2</v>
      </c>
      <c r="I20" s="324"/>
      <c r="K20" s="322"/>
      <c r="L20" s="322"/>
      <c r="M20" s="322"/>
      <c r="N20" s="322"/>
      <c r="O20" s="322"/>
      <c r="P20" s="322"/>
      <c r="Q20" s="322"/>
      <c r="R20" s="322"/>
      <c r="S20" s="322"/>
      <c r="T20" s="322"/>
      <c r="U20" s="322"/>
      <c r="V20" s="322"/>
      <c r="W20" s="322"/>
      <c r="X20" s="322"/>
      <c r="Y20" s="322"/>
    </row>
    <row r="21" spans="1:27" ht="23.25" x14ac:dyDescent="0.35">
      <c r="A21" s="324"/>
      <c r="B21" s="329" t="str">
        <f>+Beregningmotor!B29</f>
        <v>Energi</v>
      </c>
      <c r="C21" s="405">
        <f>+G6-H6</f>
        <v>0</v>
      </c>
      <c r="D21" s="369" t="s">
        <v>84</v>
      </c>
      <c r="E21" s="370"/>
      <c r="F21" s="370"/>
      <c r="G21" s="371"/>
      <c r="H21" s="334">
        <f>+Værktøjskassen!C25</f>
        <v>-21.8</v>
      </c>
      <c r="I21" s="324"/>
      <c r="K21" s="322"/>
      <c r="L21" s="322"/>
      <c r="M21" s="322"/>
      <c r="N21" s="322"/>
      <c r="O21" s="322"/>
      <c r="P21" s="322"/>
      <c r="Q21" s="322"/>
      <c r="R21" s="322"/>
      <c r="S21" s="322"/>
      <c r="T21" s="322"/>
      <c r="U21" s="322"/>
      <c r="V21" s="322"/>
      <c r="W21" s="322"/>
      <c r="X21" s="322"/>
      <c r="Y21" s="322"/>
    </row>
    <row r="22" spans="1:27" ht="23.25" x14ac:dyDescent="0.35">
      <c r="A22" s="324"/>
      <c r="B22" s="329" t="str">
        <f>+B8</f>
        <v>Stald og gylleopbevaring (gødninmgsproduktion)</v>
      </c>
      <c r="C22" s="405">
        <f>+G8-H8</f>
        <v>0</v>
      </c>
      <c r="D22" s="369" t="s">
        <v>76</v>
      </c>
      <c r="E22" s="370"/>
      <c r="F22" s="370"/>
      <c r="G22" s="371"/>
      <c r="H22" s="154">
        <f>+Værktøjskassen!C29</f>
        <v>-3.4</v>
      </c>
      <c r="I22" s="324"/>
      <c r="K22" s="322"/>
      <c r="L22" s="322"/>
      <c r="M22" s="322"/>
      <c r="N22" s="322"/>
      <c r="O22" s="322"/>
      <c r="P22" s="322"/>
      <c r="Q22" s="322"/>
      <c r="R22" s="322"/>
      <c r="S22" s="322"/>
      <c r="T22" s="322"/>
      <c r="U22" s="322"/>
      <c r="V22" s="322"/>
      <c r="W22" s="322"/>
      <c r="X22" s="322"/>
      <c r="Y22" s="322"/>
    </row>
    <row r="23" spans="1:27" ht="23.25" x14ac:dyDescent="0.35">
      <c r="A23" s="324"/>
      <c r="B23" s="329" t="str">
        <f>+Beregningmotor!B33</f>
        <v>Strøelse + diverse</v>
      </c>
      <c r="C23" s="405">
        <f>+G10-H10</f>
        <v>0</v>
      </c>
      <c r="D23" s="369" t="s">
        <v>77</v>
      </c>
      <c r="E23" s="370"/>
      <c r="F23" s="370"/>
      <c r="G23" s="371"/>
      <c r="H23" s="154">
        <f>+Værktøjskassen!C32</f>
        <v>-5</v>
      </c>
      <c r="I23" s="324"/>
      <c r="K23" s="322"/>
      <c r="L23" s="322"/>
      <c r="M23" s="322"/>
      <c r="N23" s="322"/>
      <c r="O23" s="322"/>
      <c r="P23" s="322"/>
      <c r="Q23" s="322"/>
      <c r="R23" s="322"/>
      <c r="S23" s="322"/>
      <c r="T23" s="322"/>
      <c r="U23" s="322"/>
      <c r="V23" s="322"/>
      <c r="W23" s="322"/>
      <c r="X23" s="322"/>
      <c r="Y23" s="322"/>
    </row>
    <row r="24" spans="1:27" ht="23.25" x14ac:dyDescent="0.35">
      <c r="A24" s="324"/>
      <c r="B24" s="329" t="str">
        <f>+Beregningmotor!B34</f>
        <v>Miljøteknologi</v>
      </c>
      <c r="C24" s="405">
        <f>+Beregningmotor!I34</f>
        <v>0</v>
      </c>
      <c r="D24" s="369" t="s">
        <v>97</v>
      </c>
      <c r="E24" s="370"/>
      <c r="F24" s="370"/>
      <c r="G24" s="371"/>
      <c r="H24" s="154">
        <f>+Værktøjskassen!C27</f>
        <v>-1.3</v>
      </c>
      <c r="I24" s="324"/>
      <c r="K24" s="322"/>
      <c r="L24" s="322"/>
      <c r="M24" s="322"/>
      <c r="N24" s="322"/>
      <c r="O24" s="322"/>
      <c r="P24" s="322"/>
      <c r="Q24" s="322"/>
      <c r="R24" s="322"/>
      <c r="S24" s="322"/>
      <c r="T24" s="322"/>
      <c r="U24" s="322"/>
      <c r="V24" s="322"/>
      <c r="W24" s="322"/>
      <c r="X24" s="322"/>
      <c r="Y24" s="322"/>
    </row>
    <row r="25" spans="1:27" ht="23.25" x14ac:dyDescent="0.35">
      <c r="A25" s="324"/>
      <c r="B25" s="329" t="str">
        <f>+Beregningmotor!B35</f>
        <v>Gylle håndtering</v>
      </c>
      <c r="C25" s="405">
        <f>+Beregningmotor!I35</f>
        <v>0</v>
      </c>
      <c r="D25" s="163" t="s">
        <v>98</v>
      </c>
      <c r="E25" s="164"/>
      <c r="F25" s="164"/>
      <c r="G25" s="173"/>
      <c r="H25" s="334">
        <f>+Værktøjskassen!C26</f>
        <v>-2.5</v>
      </c>
      <c r="I25" s="324"/>
      <c r="K25" s="322"/>
      <c r="L25" s="322"/>
      <c r="M25" s="322"/>
      <c r="N25" s="322"/>
      <c r="O25" s="322"/>
      <c r="P25" s="322"/>
      <c r="Q25" s="322"/>
      <c r="R25" s="322"/>
      <c r="S25" s="322"/>
      <c r="T25" s="322"/>
      <c r="U25" s="322"/>
      <c r="V25" s="322"/>
      <c r="W25" s="322"/>
      <c r="X25" s="322"/>
      <c r="Y25" s="322"/>
    </row>
    <row r="26" spans="1:27" ht="24" thickBot="1" x14ac:dyDescent="0.4">
      <c r="A26" s="324"/>
      <c r="B26" s="329" t="str">
        <f>+Beregningmotor!B36</f>
        <v>Biogas metan -emissioner</v>
      </c>
      <c r="C26" s="405">
        <f>+Beregningmotor!I36</f>
        <v>0</v>
      </c>
      <c r="D26" s="377" t="s">
        <v>266</v>
      </c>
      <c r="E26" s="378"/>
      <c r="F26" s="378"/>
      <c r="G26" s="379"/>
      <c r="H26" s="149">
        <f>+Værktøjskassen!C34</f>
        <v>-17.399999999999999</v>
      </c>
      <c r="I26" s="324"/>
      <c r="K26" s="322"/>
      <c r="L26" s="322"/>
      <c r="M26" s="322"/>
      <c r="N26" s="322"/>
      <c r="O26" s="322"/>
      <c r="P26" s="322"/>
      <c r="Q26" s="322"/>
      <c r="R26" s="322"/>
      <c r="S26" s="322"/>
      <c r="T26" s="322"/>
      <c r="U26" s="322"/>
      <c r="V26" s="322"/>
      <c r="W26" s="322"/>
      <c r="X26" s="322"/>
      <c r="Y26" s="322"/>
    </row>
    <row r="27" spans="1:27" ht="24" thickBot="1" x14ac:dyDescent="0.4">
      <c r="A27" s="324"/>
      <c r="B27" s="330" t="s">
        <v>160</v>
      </c>
      <c r="C27" s="406">
        <f>+G14-H14</f>
        <v>-1.2199999999950251E-2</v>
      </c>
      <c r="D27" s="402"/>
      <c r="E27" s="402"/>
      <c r="F27" s="402"/>
      <c r="G27" s="402"/>
      <c r="H27" s="402"/>
      <c r="I27" s="324"/>
      <c r="K27" s="322"/>
      <c r="L27" s="322"/>
      <c r="M27" s="322"/>
      <c r="N27" s="322"/>
      <c r="O27" s="322"/>
      <c r="P27" s="322"/>
      <c r="Q27" s="322"/>
      <c r="R27" s="322"/>
      <c r="S27" s="322"/>
      <c r="T27" s="322"/>
      <c r="U27" s="322"/>
      <c r="V27" s="322"/>
      <c r="W27" s="322"/>
      <c r="X27" s="322"/>
      <c r="Y27" s="322"/>
    </row>
    <row r="28" spans="1:27" ht="24" thickBot="1" x14ac:dyDescent="0.4">
      <c r="A28" s="324"/>
      <c r="B28" s="330" t="s">
        <v>209</v>
      </c>
      <c r="C28" s="293">
        <f>+Beregningmotor!I40</f>
        <v>0</v>
      </c>
      <c r="D28" s="403"/>
      <c r="E28" s="403"/>
      <c r="F28" s="403"/>
      <c r="G28" s="403"/>
      <c r="H28" s="404"/>
      <c r="I28" s="324"/>
      <c r="K28" s="322"/>
      <c r="L28" s="322"/>
      <c r="M28" s="322"/>
      <c r="N28" s="322"/>
      <c r="O28" s="322"/>
      <c r="P28" s="322"/>
      <c r="Q28" s="322"/>
      <c r="R28" s="322"/>
      <c r="S28" s="322"/>
      <c r="T28" s="322"/>
      <c r="U28" s="322"/>
      <c r="V28" s="322"/>
      <c r="W28" s="322"/>
      <c r="X28" s="322"/>
      <c r="Y28" s="322"/>
    </row>
    <row r="29" spans="1:27" ht="26.25" customHeight="1" x14ac:dyDescent="0.25">
      <c r="A29" s="324"/>
      <c r="D29" s="402"/>
      <c r="E29" s="402"/>
      <c r="F29" s="402"/>
      <c r="G29" s="402"/>
      <c r="H29" s="402"/>
      <c r="I29" s="324"/>
      <c r="K29" s="322"/>
      <c r="L29" s="322"/>
      <c r="M29" s="322"/>
      <c r="N29" s="322"/>
      <c r="O29" s="322"/>
      <c r="P29" s="322"/>
      <c r="Q29" s="322"/>
      <c r="R29" s="322"/>
      <c r="S29" s="322"/>
      <c r="T29" s="322"/>
      <c r="U29" s="322"/>
      <c r="V29" s="322"/>
      <c r="W29" s="322"/>
      <c r="X29" s="322"/>
      <c r="Y29" s="322"/>
    </row>
    <row r="30" spans="1:27" ht="23.25" x14ac:dyDescent="0.35">
      <c r="A30" s="324"/>
      <c r="B30" s="372"/>
      <c r="C30" s="372"/>
      <c r="D30" s="372"/>
      <c r="E30" s="372"/>
      <c r="F30" s="372"/>
      <c r="G30" s="372"/>
      <c r="H30" s="373"/>
      <c r="I30" s="324"/>
      <c r="K30" s="322"/>
      <c r="L30" s="322"/>
      <c r="M30" s="322"/>
      <c r="N30" s="322"/>
      <c r="O30" s="322"/>
      <c r="P30" s="322"/>
      <c r="Q30" s="322"/>
      <c r="R30" s="322"/>
      <c r="S30" s="322"/>
      <c r="T30" s="322"/>
      <c r="U30" s="322"/>
      <c r="V30" s="322"/>
      <c r="W30" s="322"/>
      <c r="X30" s="322"/>
      <c r="Y30" s="322"/>
    </row>
    <row r="31" spans="1:27" ht="23.25" x14ac:dyDescent="0.35">
      <c r="A31" s="324"/>
      <c r="B31" s="152"/>
      <c r="C31" s="158"/>
      <c r="D31" s="152"/>
      <c r="E31" s="152"/>
      <c r="F31" s="152"/>
      <c r="G31" s="152"/>
      <c r="H31" s="152"/>
      <c r="I31" s="324"/>
      <c r="K31" s="322"/>
      <c r="L31" s="322"/>
      <c r="M31" s="322"/>
      <c r="N31" s="322"/>
      <c r="O31" s="322"/>
      <c r="P31" s="322"/>
      <c r="Q31" s="322"/>
      <c r="R31" s="322"/>
      <c r="S31" s="322"/>
      <c r="T31" s="322"/>
      <c r="U31" s="322"/>
      <c r="V31" s="322"/>
      <c r="W31" s="322"/>
      <c r="X31" s="322"/>
      <c r="Y31" s="322"/>
      <c r="AA31" s="46">
        <f>+H14+C19+C21+C22+C23+C24+C25+C26+C20</f>
        <v>282.6613744377791</v>
      </c>
    </row>
    <row r="32" spans="1:27" ht="23.25" x14ac:dyDescent="0.35">
      <c r="A32" s="324"/>
      <c r="B32" s="152"/>
      <c r="C32" s="158"/>
      <c r="D32" s="152"/>
      <c r="E32" s="152"/>
      <c r="F32" s="152"/>
      <c r="G32" s="152"/>
      <c r="H32" s="152"/>
      <c r="I32" s="337"/>
      <c r="K32" s="322"/>
      <c r="L32" s="322"/>
      <c r="M32" s="322"/>
      <c r="N32" s="322"/>
      <c r="O32" s="322"/>
      <c r="P32" s="322"/>
      <c r="Q32" s="322"/>
      <c r="R32" s="322"/>
      <c r="S32" s="322"/>
      <c r="T32" s="322"/>
      <c r="U32" s="322"/>
      <c r="V32" s="322"/>
      <c r="W32" s="322"/>
      <c r="X32" s="322"/>
      <c r="Y32" s="322"/>
    </row>
    <row r="33" spans="1:26" ht="23.25" x14ac:dyDescent="0.35">
      <c r="A33" s="324"/>
      <c r="B33" s="152"/>
      <c r="C33" s="158"/>
      <c r="D33" s="152"/>
      <c r="E33" s="152"/>
      <c r="F33" s="152"/>
      <c r="G33" s="152"/>
      <c r="H33" s="152"/>
      <c r="I33" s="324"/>
      <c r="K33" s="322"/>
      <c r="L33" s="322"/>
      <c r="M33" s="322"/>
      <c r="N33" s="322"/>
      <c r="O33" s="322"/>
      <c r="P33" s="322"/>
      <c r="Q33" s="322"/>
      <c r="R33" s="322"/>
      <c r="S33" s="322"/>
      <c r="T33" s="322"/>
      <c r="U33" s="322"/>
      <c r="V33" s="322"/>
      <c r="W33" s="322"/>
      <c r="X33" s="322"/>
      <c r="Y33" s="322"/>
    </row>
    <row r="34" spans="1:26" ht="23.25" x14ac:dyDescent="0.35">
      <c r="A34" s="324"/>
      <c r="B34" s="152"/>
      <c r="C34" s="158"/>
      <c r="D34" s="152"/>
      <c r="E34" s="152"/>
      <c r="F34" s="152"/>
      <c r="G34" s="152"/>
      <c r="H34" s="152"/>
      <c r="I34" s="324"/>
      <c r="K34" s="314"/>
      <c r="L34" s="314"/>
      <c r="M34" s="314"/>
      <c r="N34" s="314"/>
      <c r="O34" s="314"/>
      <c r="P34" s="314"/>
      <c r="Q34" s="314"/>
      <c r="R34" s="314"/>
      <c r="S34" s="314"/>
      <c r="T34" s="314"/>
      <c r="U34" s="314"/>
      <c r="V34" s="314"/>
      <c r="W34" s="314"/>
      <c r="X34" s="314"/>
      <c r="Y34" s="314"/>
      <c r="Z34" s="4"/>
    </row>
    <row r="35" spans="1:26" ht="23.25" x14ac:dyDescent="0.35">
      <c r="A35" s="324"/>
      <c r="B35" s="152"/>
      <c r="C35" s="158"/>
      <c r="D35" s="152"/>
      <c r="E35" s="152"/>
      <c r="F35" s="152"/>
      <c r="G35" s="152"/>
      <c r="H35" s="152"/>
      <c r="I35" s="324"/>
      <c r="K35" s="314"/>
      <c r="L35" s="314"/>
      <c r="M35" s="314"/>
      <c r="N35" s="314"/>
      <c r="O35" s="314"/>
      <c r="P35" s="314"/>
      <c r="Q35" s="314"/>
      <c r="R35" s="314"/>
      <c r="S35" s="314"/>
      <c r="T35" s="314"/>
      <c r="U35" s="314"/>
      <c r="V35" s="314"/>
      <c r="W35" s="314"/>
      <c r="X35" s="314"/>
      <c r="Y35" s="314"/>
      <c r="Z35" s="4"/>
    </row>
    <row r="36" spans="1:26" ht="23.25" x14ac:dyDescent="0.35">
      <c r="A36" s="324"/>
      <c r="B36" s="152"/>
      <c r="C36" s="158"/>
      <c r="D36" s="152"/>
      <c r="E36" s="152"/>
      <c r="F36" s="152"/>
      <c r="G36" s="152"/>
      <c r="H36" s="152"/>
      <c r="I36" s="324"/>
      <c r="K36" s="314"/>
      <c r="L36" s="314"/>
      <c r="M36" s="314"/>
      <c r="N36" s="314"/>
      <c r="O36" s="314"/>
      <c r="P36" s="314"/>
      <c r="Q36" s="314"/>
      <c r="R36" s="314"/>
      <c r="S36" s="314"/>
      <c r="T36" s="314"/>
      <c r="U36" s="314"/>
      <c r="V36" s="314"/>
      <c r="W36" s="314"/>
      <c r="X36" s="314"/>
      <c r="Y36" s="314"/>
      <c r="Z36" s="4"/>
    </row>
    <row r="37" spans="1:26" ht="23.25" x14ac:dyDescent="0.35">
      <c r="A37" s="324"/>
      <c r="B37" s="152"/>
      <c r="C37" s="158"/>
      <c r="D37" s="152"/>
      <c r="E37" s="152"/>
      <c r="F37" s="152"/>
      <c r="G37" s="152"/>
      <c r="H37" s="152"/>
      <c r="I37" s="324"/>
      <c r="K37" s="314"/>
      <c r="L37" s="314"/>
      <c r="M37" s="314"/>
      <c r="N37" s="314"/>
      <c r="O37" s="314"/>
      <c r="P37" s="314"/>
      <c r="Q37" s="314"/>
      <c r="R37" s="314"/>
      <c r="S37" s="314"/>
      <c r="T37" s="314"/>
      <c r="U37" s="314"/>
      <c r="V37" s="314"/>
      <c r="W37" s="314"/>
      <c r="X37" s="314"/>
      <c r="Y37" s="314"/>
      <c r="Z37" s="4"/>
    </row>
    <row r="38" spans="1:26" ht="23.25" x14ac:dyDescent="0.35">
      <c r="A38" s="324"/>
      <c r="B38" s="152"/>
      <c r="C38" s="158"/>
      <c r="D38" s="152"/>
      <c r="E38" s="152"/>
      <c r="F38" s="152"/>
      <c r="G38" s="152"/>
      <c r="H38" s="152"/>
      <c r="I38" s="324"/>
      <c r="K38" s="314"/>
      <c r="L38" s="314"/>
      <c r="M38" s="314"/>
      <c r="N38" s="314"/>
      <c r="O38" s="314"/>
      <c r="P38" s="314"/>
      <c r="Q38" s="314"/>
      <c r="R38" s="314"/>
      <c r="S38" s="314"/>
      <c r="T38" s="314"/>
      <c r="U38" s="314"/>
      <c r="V38" s="314"/>
      <c r="W38" s="314"/>
      <c r="X38" s="314"/>
      <c r="Y38" s="314"/>
      <c r="Z38" s="4"/>
    </row>
    <row r="39" spans="1:26" ht="23.25" x14ac:dyDescent="0.35">
      <c r="A39" s="324"/>
      <c r="B39" s="152"/>
      <c r="C39" s="158"/>
      <c r="D39" s="152"/>
      <c r="E39" s="152"/>
      <c r="F39" s="152"/>
      <c r="G39" s="152"/>
      <c r="H39" s="152"/>
      <c r="I39" s="324"/>
      <c r="K39" s="314"/>
      <c r="L39" s="314"/>
      <c r="M39" s="314"/>
      <c r="N39" s="314"/>
      <c r="O39" s="314"/>
      <c r="P39" s="314"/>
      <c r="Q39" s="314"/>
      <c r="R39" s="314"/>
      <c r="S39" s="314"/>
      <c r="T39" s="314"/>
      <c r="U39" s="314"/>
      <c r="V39" s="314"/>
      <c r="W39" s="314"/>
      <c r="X39" s="314"/>
      <c r="Y39" s="314"/>
      <c r="Z39" s="4"/>
    </row>
    <row r="40" spans="1:26" ht="23.25" x14ac:dyDescent="0.35">
      <c r="A40" s="324"/>
      <c r="B40" s="152"/>
      <c r="C40" s="158"/>
      <c r="D40" s="152"/>
      <c r="E40" s="152"/>
      <c r="F40" s="152"/>
      <c r="G40" s="152"/>
      <c r="H40" s="152"/>
      <c r="I40" s="324"/>
      <c r="K40" s="314"/>
      <c r="L40" s="314"/>
      <c r="M40" s="314"/>
      <c r="N40" s="314"/>
      <c r="O40" s="314"/>
      <c r="P40" s="314"/>
      <c r="Q40" s="314"/>
      <c r="R40" s="314"/>
      <c r="S40" s="314"/>
      <c r="T40" s="314"/>
      <c r="U40" s="314"/>
      <c r="V40" s="314"/>
      <c r="W40" s="314"/>
      <c r="X40" s="314"/>
      <c r="Y40" s="314"/>
      <c r="Z40" s="4"/>
    </row>
    <row r="41" spans="1:26" ht="23.25" x14ac:dyDescent="0.35">
      <c r="A41" s="324"/>
      <c r="B41" s="152"/>
      <c r="C41" s="158"/>
      <c r="D41" s="152"/>
      <c r="E41" s="152"/>
      <c r="F41" s="152"/>
      <c r="G41" s="152"/>
      <c r="H41" s="152"/>
      <c r="I41" s="324"/>
      <c r="K41" s="314"/>
      <c r="L41" s="314"/>
      <c r="M41" s="314"/>
      <c r="N41" s="314"/>
      <c r="O41" s="314"/>
      <c r="P41" s="314"/>
      <c r="Q41" s="314"/>
      <c r="R41" s="314"/>
      <c r="S41" s="314"/>
      <c r="T41" s="314"/>
      <c r="U41" s="314"/>
      <c r="V41" s="314"/>
      <c r="W41" s="314"/>
      <c r="X41" s="314"/>
      <c r="Y41" s="314"/>
      <c r="Z41" s="4"/>
    </row>
    <row r="42" spans="1:26" ht="23.25" x14ac:dyDescent="0.35">
      <c r="A42" s="324"/>
      <c r="B42" s="152"/>
      <c r="C42" s="158"/>
      <c r="D42" s="152"/>
      <c r="E42" s="152"/>
      <c r="F42" s="152"/>
      <c r="G42" s="152"/>
      <c r="H42" s="152"/>
      <c r="I42" s="324"/>
      <c r="K42" s="314"/>
      <c r="L42" s="314"/>
      <c r="M42" s="314"/>
      <c r="N42" s="314"/>
      <c r="O42" s="314"/>
      <c r="P42" s="314"/>
      <c r="Q42" s="314"/>
      <c r="R42" s="314"/>
      <c r="S42" s="314"/>
      <c r="T42" s="314"/>
      <c r="U42" s="314"/>
      <c r="V42" s="314"/>
      <c r="W42" s="314"/>
      <c r="X42" s="314"/>
      <c r="Y42" s="314"/>
      <c r="Z42" s="4"/>
    </row>
    <row r="43" spans="1:26" ht="23.25" x14ac:dyDescent="0.35">
      <c r="A43" s="324"/>
      <c r="B43" s="152"/>
      <c r="C43" s="158"/>
      <c r="D43" s="152"/>
      <c r="E43" s="152"/>
      <c r="F43" s="152"/>
      <c r="G43" s="152"/>
      <c r="H43" s="152"/>
      <c r="I43" s="324"/>
      <c r="K43" s="314"/>
      <c r="L43" s="314"/>
      <c r="M43" s="314"/>
      <c r="N43" s="314"/>
      <c r="O43" s="314"/>
      <c r="P43" s="314"/>
      <c r="Q43" s="314"/>
      <c r="R43" s="314"/>
      <c r="S43" s="314"/>
      <c r="T43" s="314"/>
      <c r="U43" s="314"/>
      <c r="V43" s="314"/>
      <c r="W43" s="314"/>
      <c r="X43" s="314"/>
      <c r="Y43" s="314"/>
      <c r="Z43" s="4"/>
    </row>
    <row r="44" spans="1:26" ht="23.25" x14ac:dyDescent="0.35">
      <c r="A44" s="324"/>
      <c r="B44" s="152"/>
      <c r="C44" s="158"/>
      <c r="D44" s="152"/>
      <c r="E44" s="152"/>
      <c r="F44" s="152"/>
      <c r="G44" s="152"/>
      <c r="H44" s="152"/>
      <c r="I44" s="324"/>
      <c r="K44" s="314"/>
      <c r="L44" s="314"/>
      <c r="M44" s="314"/>
      <c r="N44" s="314"/>
      <c r="O44" s="314"/>
      <c r="P44" s="314"/>
      <c r="Q44" s="314"/>
      <c r="R44" s="314"/>
      <c r="S44" s="314"/>
      <c r="T44" s="314"/>
      <c r="U44" s="314"/>
      <c r="V44" s="314"/>
      <c r="W44" s="314"/>
      <c r="X44" s="314"/>
      <c r="Y44" s="314"/>
      <c r="Z44" s="4"/>
    </row>
    <row r="45" spans="1:26" ht="23.25" x14ac:dyDescent="0.35">
      <c r="A45" s="324"/>
      <c r="B45" s="152"/>
      <c r="C45" s="158"/>
      <c r="D45" s="152"/>
      <c r="E45" s="152"/>
      <c r="F45" s="152"/>
      <c r="G45" s="152"/>
      <c r="H45" s="152"/>
      <c r="I45" s="324"/>
      <c r="K45" s="314"/>
      <c r="L45" s="314"/>
      <c r="M45" s="314"/>
      <c r="N45" s="314"/>
      <c r="O45" s="314"/>
      <c r="P45" s="314"/>
      <c r="Q45" s="314"/>
      <c r="R45" s="314"/>
      <c r="S45" s="314"/>
      <c r="T45" s="314"/>
      <c r="U45" s="314"/>
      <c r="V45" s="314"/>
      <c r="W45" s="314"/>
      <c r="X45" s="314"/>
      <c r="Y45" s="314"/>
      <c r="Z45" s="4"/>
    </row>
    <row r="46" spans="1:26" ht="23.25" x14ac:dyDescent="0.35">
      <c r="A46" s="324"/>
      <c r="B46" s="152"/>
      <c r="C46" s="158"/>
      <c r="D46" s="152"/>
      <c r="E46" s="152"/>
      <c r="F46" s="152"/>
      <c r="G46" s="152"/>
      <c r="H46" s="152"/>
      <c r="I46" s="324"/>
      <c r="K46" s="314"/>
      <c r="L46" s="314"/>
      <c r="M46" s="314"/>
      <c r="N46" s="314"/>
      <c r="O46" s="314"/>
      <c r="P46" s="314"/>
      <c r="Q46" s="314"/>
      <c r="R46" s="314"/>
      <c r="S46" s="314"/>
      <c r="T46" s="314"/>
      <c r="U46" s="314"/>
      <c r="V46" s="314"/>
      <c r="W46" s="314"/>
      <c r="X46" s="314"/>
      <c r="Y46" s="314"/>
      <c r="Z46" s="4"/>
    </row>
    <row r="47" spans="1:26" ht="23.25" x14ac:dyDescent="0.35">
      <c r="A47" s="324"/>
      <c r="B47" s="152"/>
      <c r="C47" s="158"/>
      <c r="D47" s="152"/>
      <c r="E47" s="152"/>
      <c r="F47" s="152"/>
      <c r="G47" s="152"/>
      <c r="H47" s="152"/>
      <c r="I47" s="324"/>
      <c r="K47" s="314"/>
      <c r="L47" s="314"/>
      <c r="M47" s="314"/>
      <c r="N47" s="314"/>
      <c r="O47" s="314"/>
      <c r="P47" s="314"/>
      <c r="Q47" s="314"/>
      <c r="R47" s="314"/>
      <c r="S47" s="314"/>
      <c r="T47" s="314"/>
      <c r="U47" s="314"/>
      <c r="V47" s="314"/>
      <c r="W47" s="314"/>
      <c r="X47" s="314"/>
      <c r="Y47" s="314"/>
      <c r="Z47" s="4"/>
    </row>
    <row r="48" spans="1:26" ht="23.25" x14ac:dyDescent="0.35">
      <c r="A48" s="324"/>
      <c r="B48" s="152"/>
      <c r="C48" s="152"/>
      <c r="D48" s="152"/>
      <c r="E48" s="152"/>
      <c r="F48" s="152"/>
      <c r="G48" s="152"/>
      <c r="H48" s="152"/>
      <c r="I48" s="324"/>
      <c r="K48" s="314"/>
      <c r="L48" s="314"/>
      <c r="M48" s="314"/>
      <c r="N48" s="314"/>
      <c r="O48" s="314"/>
      <c r="P48" s="314"/>
      <c r="Q48" s="314"/>
      <c r="R48" s="314"/>
      <c r="S48" s="314"/>
      <c r="T48" s="314"/>
      <c r="U48" s="314"/>
      <c r="V48" s="314"/>
      <c r="W48" s="314"/>
      <c r="X48" s="314"/>
      <c r="Y48" s="314"/>
      <c r="Z48" s="4"/>
    </row>
    <row r="49" spans="1:26" ht="23.25" x14ac:dyDescent="0.35">
      <c r="A49" s="324"/>
      <c r="B49" s="152"/>
      <c r="C49" s="152"/>
      <c r="D49" s="152"/>
      <c r="E49" s="152"/>
      <c r="F49" s="152"/>
      <c r="G49" s="152"/>
      <c r="H49" s="152"/>
      <c r="I49" s="324"/>
      <c r="K49" s="314"/>
      <c r="L49" s="314"/>
      <c r="M49" s="314"/>
      <c r="N49" s="314"/>
      <c r="O49" s="314"/>
      <c r="P49" s="314"/>
      <c r="Q49" s="314"/>
      <c r="R49" s="314"/>
      <c r="S49" s="314"/>
      <c r="T49" s="314"/>
      <c r="U49" s="314"/>
      <c r="V49" s="314"/>
      <c r="W49" s="314"/>
      <c r="X49" s="314"/>
      <c r="Y49" s="314"/>
      <c r="Z49" s="4"/>
    </row>
    <row r="50" spans="1:26" ht="23.25" x14ac:dyDescent="0.35">
      <c r="A50" s="324"/>
      <c r="B50" s="321"/>
      <c r="C50" s="321"/>
      <c r="D50" s="321"/>
      <c r="E50" s="321"/>
      <c r="F50" s="321"/>
      <c r="G50" s="321"/>
      <c r="H50" s="321"/>
      <c r="I50" s="324"/>
      <c r="K50" s="314"/>
      <c r="L50" s="314"/>
      <c r="M50" s="314"/>
      <c r="N50" s="314"/>
      <c r="O50" s="314"/>
      <c r="P50" s="314"/>
      <c r="Q50" s="314"/>
      <c r="R50" s="314"/>
      <c r="S50" s="314"/>
      <c r="T50" s="314"/>
      <c r="U50" s="314"/>
      <c r="V50" s="314"/>
      <c r="W50" s="314"/>
      <c r="X50" s="314"/>
      <c r="Y50" s="314"/>
      <c r="Z50" s="4"/>
    </row>
    <row r="51" spans="1:26" ht="24" thickBot="1" x14ac:dyDescent="0.4">
      <c r="A51" s="324"/>
      <c r="B51" s="49" t="s">
        <v>79</v>
      </c>
      <c r="C51" s="152"/>
      <c r="D51" s="152"/>
      <c r="E51" s="152"/>
      <c r="F51" s="152"/>
      <c r="G51" s="152"/>
      <c r="H51" s="152"/>
      <c r="I51" s="324"/>
      <c r="K51" s="314"/>
      <c r="L51" s="314"/>
      <c r="M51" s="314"/>
      <c r="N51" s="314"/>
      <c r="O51" s="314"/>
      <c r="P51" s="314"/>
      <c r="Q51" s="314"/>
      <c r="R51" s="314"/>
      <c r="S51" s="314"/>
      <c r="T51" s="314"/>
      <c r="U51" s="314"/>
      <c r="V51" s="314"/>
      <c r="W51" s="314"/>
      <c r="X51" s="314"/>
      <c r="Y51" s="314"/>
      <c r="Z51" s="4"/>
    </row>
    <row r="52" spans="1:26" ht="24" thickBot="1" x14ac:dyDescent="0.4">
      <c r="A52" s="324"/>
      <c r="B52" s="159" t="str">
        <f>+'Produktionsdata input'!B11</f>
        <v>Besætning CHR nr.</v>
      </c>
      <c r="C52" s="159"/>
      <c r="D52" s="160"/>
      <c r="E52" s="161">
        <f>+'Produktionsdata input'!C11</f>
        <v>1</v>
      </c>
      <c r="F52" s="162">
        <f>+'Produktionsdata input'!D11</f>
        <v>2</v>
      </c>
      <c r="G52" s="162">
        <f>+'Produktionsdata input'!E11</f>
        <v>3</v>
      </c>
      <c r="H52" s="162">
        <f>+'Produktionsdata input'!F11</f>
        <v>4</v>
      </c>
      <c r="I52" s="324"/>
      <c r="K52" s="4"/>
      <c r="L52" s="4"/>
      <c r="M52" s="4"/>
      <c r="N52" s="4"/>
      <c r="O52" s="4"/>
      <c r="P52" s="4"/>
      <c r="Q52" s="4"/>
      <c r="R52" s="4"/>
      <c r="S52" s="4"/>
      <c r="T52" s="4"/>
      <c r="U52" s="4"/>
      <c r="V52" s="4"/>
      <c r="W52" s="4"/>
      <c r="X52" s="4"/>
      <c r="Y52" s="4"/>
      <c r="Z52" s="4"/>
    </row>
    <row r="53" spans="1:26" ht="23.25" x14ac:dyDescent="0.35">
      <c r="A53" s="324"/>
      <c r="B53" s="319" t="str">
        <f>+'Produktionsdata input'!B14</f>
        <v>Smågrise: Indkøbt=1 egne smågrise =2</v>
      </c>
      <c r="C53" s="164"/>
      <c r="D53" s="165"/>
      <c r="E53" s="166">
        <f>+'Produktionsdata input'!C14</f>
        <v>1</v>
      </c>
      <c r="F53" s="166">
        <f>+'Produktionsdata input'!D14</f>
        <v>1</v>
      </c>
      <c r="G53" s="166">
        <f>+'Produktionsdata input'!E14</f>
        <v>1</v>
      </c>
      <c r="H53" s="166">
        <f>+'Produktionsdata input'!F14</f>
        <v>1</v>
      </c>
      <c r="I53" s="324"/>
    </row>
    <row r="54" spans="1:26" ht="23.25" x14ac:dyDescent="0.35">
      <c r="A54" s="324"/>
      <c r="B54" s="319" t="s">
        <v>154</v>
      </c>
      <c r="C54" s="164"/>
      <c r="D54" s="165"/>
      <c r="E54" s="167">
        <f>+'Produktionsdata input'!C15</f>
        <v>1000</v>
      </c>
      <c r="F54" s="167">
        <f>+'Produktionsdata input'!D15</f>
        <v>1000</v>
      </c>
      <c r="G54" s="167">
        <f>+'Produktionsdata input'!E15</f>
        <v>1000</v>
      </c>
      <c r="H54" s="167">
        <f>+'Produktionsdata input'!F15</f>
        <v>1000</v>
      </c>
      <c r="I54" s="324"/>
    </row>
    <row r="55" spans="1:26" ht="23.25" x14ac:dyDescent="0.35">
      <c r="A55" s="324"/>
      <c r="B55" s="319" t="s">
        <v>36</v>
      </c>
      <c r="C55" s="164"/>
      <c r="D55" s="165"/>
      <c r="E55" s="167">
        <f>+'Produktionsdata input'!C16</f>
        <v>30</v>
      </c>
      <c r="F55" s="167">
        <f>+'Produktionsdata input'!D16</f>
        <v>30</v>
      </c>
      <c r="G55" s="167">
        <f>+'Produktionsdata input'!E16</f>
        <v>30</v>
      </c>
      <c r="H55" s="167">
        <f>+'Produktionsdata input'!F16</f>
        <v>30</v>
      </c>
      <c r="I55" s="324"/>
    </row>
    <row r="56" spans="1:26" ht="23.25" x14ac:dyDescent="0.35">
      <c r="A56" s="324"/>
      <c r="B56" s="319" t="s">
        <v>155</v>
      </c>
      <c r="C56" s="164"/>
      <c r="D56" s="165"/>
      <c r="E56" s="153">
        <f>+'Produktionsdata input'!C17</f>
        <v>88</v>
      </c>
      <c r="F56" s="153">
        <f>+'Produktionsdata input'!D17</f>
        <v>88</v>
      </c>
      <c r="G56" s="153">
        <f>+'Produktionsdata input'!E17</f>
        <v>88</v>
      </c>
      <c r="H56" s="153">
        <f>+'Produktionsdata input'!F17</f>
        <v>88</v>
      </c>
      <c r="I56" s="324"/>
    </row>
    <row r="57" spans="1:26" ht="23.25" x14ac:dyDescent="0.35">
      <c r="A57" s="324"/>
      <c r="B57" s="319" t="s">
        <v>37</v>
      </c>
      <c r="C57" s="164"/>
      <c r="D57" s="165"/>
      <c r="E57" s="168">
        <f>+'Produktionsdata input'!C18</f>
        <v>115.28</v>
      </c>
      <c r="F57" s="168">
        <f>+'Produktionsdata input'!D18</f>
        <v>115.28</v>
      </c>
      <c r="G57" s="168">
        <f>+'Produktionsdata input'!E18</f>
        <v>115.28</v>
      </c>
      <c r="H57" s="168">
        <f>+'Produktionsdata input'!F18</f>
        <v>115.28</v>
      </c>
      <c r="I57" s="324"/>
    </row>
    <row r="58" spans="1:26" ht="23.25" x14ac:dyDescent="0.35">
      <c r="A58" s="324"/>
      <c r="B58" s="319" t="s">
        <v>210</v>
      </c>
      <c r="C58" s="164"/>
      <c r="D58" s="165"/>
      <c r="E58" s="168">
        <f>+'Produktionsdata input'!C19</f>
        <v>2.65</v>
      </c>
      <c r="F58" s="168">
        <f>+'Produktionsdata input'!D19</f>
        <v>2.65</v>
      </c>
      <c r="G58" s="168">
        <f>+'Produktionsdata input'!E19</f>
        <v>2.65</v>
      </c>
      <c r="H58" s="168">
        <f>+'Produktionsdata input'!F19</f>
        <v>2.65</v>
      </c>
      <c r="I58" s="324"/>
    </row>
    <row r="59" spans="1:26" ht="23.25" x14ac:dyDescent="0.35">
      <c r="A59" s="324"/>
      <c r="B59" s="319" t="s">
        <v>156</v>
      </c>
      <c r="C59" s="164"/>
      <c r="D59" s="165"/>
      <c r="E59" s="169">
        <f>+'Produktionsdata input'!C20</f>
        <v>3.4000000000000002E-2</v>
      </c>
      <c r="F59" s="169">
        <f>+'Produktionsdata input'!D20</f>
        <v>3.4000000000000002E-2</v>
      </c>
      <c r="G59" s="169">
        <f>+'Produktionsdata input'!E20</f>
        <v>3.4000000000000002E-2</v>
      </c>
      <c r="H59" s="169">
        <f>+'Produktionsdata input'!F20</f>
        <v>3.4000000000000002E-2</v>
      </c>
      <c r="I59" s="324"/>
    </row>
    <row r="60" spans="1:26" ht="23.25" x14ac:dyDescent="0.35">
      <c r="A60" s="324"/>
      <c r="B60" s="319" t="str">
        <f>+'Produktionsdata input'!B21</f>
        <v>Energiforbrug, omregnet til El i KWh per gris</v>
      </c>
      <c r="C60" s="164"/>
      <c r="D60" s="165"/>
      <c r="E60" s="167">
        <f>+'Produktionsdata input'!C21</f>
        <v>14</v>
      </c>
      <c r="F60" s="167">
        <f>+'Produktionsdata input'!D21</f>
        <v>14</v>
      </c>
      <c r="G60" s="167">
        <f>+'Produktionsdata input'!E21</f>
        <v>14</v>
      </c>
      <c r="H60" s="167">
        <f>+'Produktionsdata input'!F21</f>
        <v>14</v>
      </c>
      <c r="I60" s="324"/>
    </row>
    <row r="61" spans="1:26" ht="23.25" x14ac:dyDescent="0.35">
      <c r="A61" s="324"/>
      <c r="B61" s="319" t="str">
        <f>+'Produktionsdata input'!B22</f>
        <v>Strøelse , kg per gris</v>
      </c>
      <c r="C61" s="164"/>
      <c r="D61" s="165"/>
      <c r="E61" s="170">
        <f>+'Produktionsdata input'!C22</f>
        <v>3</v>
      </c>
      <c r="F61" s="170">
        <f>+'Produktionsdata input'!D22</f>
        <v>3</v>
      </c>
      <c r="G61" s="170">
        <f>+'Produktionsdata input'!E22</f>
        <v>3</v>
      </c>
      <c r="H61" s="170">
        <f>+'Produktionsdata input'!F22</f>
        <v>3</v>
      </c>
      <c r="I61" s="324"/>
    </row>
    <row r="62" spans="1:26" ht="23.25" x14ac:dyDescent="0.35">
      <c r="A62" s="324"/>
      <c r="B62" s="319" t="str">
        <f>+'Produktionsdata input'!B23</f>
        <v>Miljøteknologi -der reducerer lattergas</v>
      </c>
      <c r="C62" s="164"/>
      <c r="D62" s="165"/>
      <c r="E62" s="167" t="str">
        <f>+'Produktionsdata input'!C23</f>
        <v>Ingen miljøteknologi</v>
      </c>
      <c r="F62" s="167" t="str">
        <f>+'Produktionsdata input'!D23</f>
        <v>Ingen miljøteknologi</v>
      </c>
      <c r="G62" s="167" t="str">
        <f>+'Produktionsdata input'!E23</f>
        <v>Ingen miljøteknologi</v>
      </c>
      <c r="H62" s="167" t="str">
        <f>+'Produktionsdata input'!F23</f>
        <v>Ingen miljøteknologi</v>
      </c>
      <c r="I62" s="324"/>
    </row>
    <row r="63" spans="1:26" ht="23.25" x14ac:dyDescent="0.35">
      <c r="A63" s="324"/>
      <c r="B63" s="329" t="str">
        <f>+'Produktionsdata input'!B24</f>
        <v>Hyppig gylleudslusning reducerer metan</v>
      </c>
      <c r="C63" s="164"/>
      <c r="D63" s="165"/>
      <c r="E63" s="167" t="str">
        <f>+'Produktionsdata input'!C24</f>
        <v>Ingen management</v>
      </c>
      <c r="F63" s="167" t="str">
        <f>+'Produktionsdata input'!D24</f>
        <v>Ingen management</v>
      </c>
      <c r="G63" s="167" t="str">
        <f>+'Produktionsdata input'!E24</f>
        <v>Ingen management</v>
      </c>
      <c r="H63" s="167" t="str">
        <f>+'Produktionsdata input'!F24</f>
        <v>Ingen management</v>
      </c>
      <c r="I63" s="324"/>
    </row>
    <row r="64" spans="1:26" ht="24" thickBot="1" x14ac:dyDescent="0.4">
      <c r="A64" s="324"/>
      <c r="B64" s="328" t="s">
        <v>157</v>
      </c>
      <c r="C64" s="171"/>
      <c r="D64" s="172"/>
      <c r="E64" s="148" t="str">
        <f>+'Produktionsdata input'!C25</f>
        <v>Uden biogas fortrængning</v>
      </c>
      <c r="F64" s="148" t="str">
        <f>+'Produktionsdata input'!D25</f>
        <v>Uden biogas fortrængning</v>
      </c>
      <c r="G64" s="148" t="str">
        <f>+'Produktionsdata input'!E25</f>
        <v>Uden biogas fortrængning</v>
      </c>
      <c r="H64" s="148" t="str">
        <f>+'Produktionsdata input'!F25</f>
        <v>Uden biogas fortrængning</v>
      </c>
      <c r="I64" s="324"/>
    </row>
    <row r="65" spans="1:9" ht="23.25" x14ac:dyDescent="0.35">
      <c r="A65" s="49"/>
      <c r="B65" s="49"/>
      <c r="I65" s="49"/>
    </row>
    <row r="66" spans="1:9" x14ac:dyDescent="0.25">
      <c r="A66"/>
      <c r="I66"/>
    </row>
    <row r="67" spans="1:9" x14ac:dyDescent="0.25">
      <c r="A67"/>
      <c r="I67"/>
    </row>
    <row r="68" spans="1:9" x14ac:dyDescent="0.25">
      <c r="A68"/>
      <c r="I68"/>
    </row>
    <row r="69" spans="1:9" x14ac:dyDescent="0.25">
      <c r="A69"/>
      <c r="I69"/>
    </row>
    <row r="70" spans="1:9" x14ac:dyDescent="0.25">
      <c r="A70"/>
      <c r="I70"/>
    </row>
    <row r="71" spans="1:9" x14ac:dyDescent="0.25">
      <c r="A71"/>
      <c r="I71"/>
    </row>
    <row r="72" spans="1:9" x14ac:dyDescent="0.25">
      <c r="A72"/>
      <c r="I72"/>
    </row>
    <row r="73" spans="1:9" x14ac:dyDescent="0.25">
      <c r="A73"/>
      <c r="I73"/>
    </row>
    <row r="74" spans="1:9" x14ac:dyDescent="0.25">
      <c r="A74"/>
      <c r="I74"/>
    </row>
    <row r="75" spans="1:9" x14ac:dyDescent="0.25">
      <c r="A75"/>
      <c r="I75"/>
    </row>
    <row r="76" spans="1:9" x14ac:dyDescent="0.25">
      <c r="A76"/>
      <c r="I76"/>
    </row>
    <row r="77" spans="1:9" x14ac:dyDescent="0.25">
      <c r="A77"/>
      <c r="I77"/>
    </row>
    <row r="78" spans="1:9" x14ac:dyDescent="0.25">
      <c r="A78"/>
      <c r="I78"/>
    </row>
    <row r="79" spans="1:9" x14ac:dyDescent="0.25">
      <c r="A79"/>
      <c r="I79"/>
    </row>
    <row r="80" spans="1:9" x14ac:dyDescent="0.25">
      <c r="A80"/>
      <c r="I80"/>
    </row>
    <row r="81" spans="1:9" x14ac:dyDescent="0.25">
      <c r="A81"/>
      <c r="I81"/>
    </row>
    <row r="82" spans="1:9" x14ac:dyDescent="0.25">
      <c r="A82"/>
      <c r="I82"/>
    </row>
    <row r="83" spans="1:9" x14ac:dyDescent="0.25">
      <c r="A83"/>
      <c r="I83"/>
    </row>
    <row r="84" spans="1:9" x14ac:dyDescent="0.25">
      <c r="A84"/>
      <c r="I84"/>
    </row>
    <row r="85" spans="1:9" x14ac:dyDescent="0.25">
      <c r="A85"/>
      <c r="I85"/>
    </row>
    <row r="86" spans="1:9" x14ac:dyDescent="0.25">
      <c r="A86"/>
      <c r="I86"/>
    </row>
    <row r="87" spans="1:9" x14ac:dyDescent="0.25">
      <c r="A87"/>
      <c r="I87"/>
    </row>
    <row r="88" spans="1:9" x14ac:dyDescent="0.25">
      <c r="A88"/>
      <c r="I88"/>
    </row>
    <row r="89" spans="1:9" x14ac:dyDescent="0.25">
      <c r="A89"/>
      <c r="I89"/>
    </row>
    <row r="90" spans="1:9" x14ac:dyDescent="0.25">
      <c r="A90"/>
      <c r="I90"/>
    </row>
    <row r="91" spans="1:9" x14ac:dyDescent="0.25">
      <c r="A91"/>
      <c r="I91"/>
    </row>
    <row r="92" spans="1:9" x14ac:dyDescent="0.25">
      <c r="A92"/>
      <c r="I92"/>
    </row>
    <row r="93" spans="1:9" x14ac:dyDescent="0.25">
      <c r="A93"/>
      <c r="I93"/>
    </row>
    <row r="94" spans="1:9" x14ac:dyDescent="0.25">
      <c r="A94"/>
      <c r="I94"/>
    </row>
    <row r="95" spans="1:9" x14ac:dyDescent="0.25">
      <c r="A95"/>
      <c r="I95"/>
    </row>
    <row r="96" spans="1:9" x14ac:dyDescent="0.25">
      <c r="A96"/>
      <c r="I96"/>
    </row>
    <row r="97" spans="1:9" x14ac:dyDescent="0.25">
      <c r="A97"/>
      <c r="I97"/>
    </row>
    <row r="98" spans="1:9" x14ac:dyDescent="0.25">
      <c r="A98"/>
      <c r="I98"/>
    </row>
    <row r="99" spans="1:9" x14ac:dyDescent="0.25">
      <c r="A99"/>
      <c r="I99"/>
    </row>
    <row r="100" spans="1:9" x14ac:dyDescent="0.25">
      <c r="A100"/>
      <c r="I100"/>
    </row>
    <row r="101" spans="1:9" x14ac:dyDescent="0.25">
      <c r="A101"/>
      <c r="I101"/>
    </row>
    <row r="102" spans="1:9" x14ac:dyDescent="0.25">
      <c r="A102"/>
      <c r="I102"/>
    </row>
    <row r="103" spans="1:9" x14ac:dyDescent="0.25">
      <c r="A103"/>
      <c r="I103"/>
    </row>
    <row r="104" spans="1:9" x14ac:dyDescent="0.25">
      <c r="A104"/>
      <c r="I104"/>
    </row>
    <row r="105" spans="1:9" x14ac:dyDescent="0.25">
      <c r="A105"/>
      <c r="I105"/>
    </row>
    <row r="106" spans="1:9" x14ac:dyDescent="0.25">
      <c r="A106"/>
      <c r="I106"/>
    </row>
    <row r="107" spans="1:9" x14ac:dyDescent="0.25">
      <c r="A107"/>
      <c r="I107"/>
    </row>
    <row r="108" spans="1:9" x14ac:dyDescent="0.25">
      <c r="A108"/>
      <c r="I108"/>
    </row>
    <row r="109" spans="1:9" x14ac:dyDescent="0.25">
      <c r="A109"/>
      <c r="I109"/>
    </row>
    <row r="110" spans="1:9" x14ac:dyDescent="0.25">
      <c r="A110"/>
      <c r="I110"/>
    </row>
    <row r="111" spans="1:9" x14ac:dyDescent="0.25">
      <c r="A111"/>
      <c r="I111"/>
    </row>
    <row r="112" spans="1:9" x14ac:dyDescent="0.25">
      <c r="A112"/>
      <c r="I112"/>
    </row>
    <row r="113" spans="1:9" x14ac:dyDescent="0.25">
      <c r="A113"/>
      <c r="I113"/>
    </row>
    <row r="114" spans="1:9" x14ac:dyDescent="0.25">
      <c r="A114"/>
      <c r="I114"/>
    </row>
    <row r="115" spans="1:9" x14ac:dyDescent="0.25">
      <c r="A115"/>
      <c r="I115"/>
    </row>
    <row r="116" spans="1:9" x14ac:dyDescent="0.25">
      <c r="A116"/>
      <c r="I116"/>
    </row>
    <row r="117" spans="1:9" x14ac:dyDescent="0.25">
      <c r="A117"/>
      <c r="I117"/>
    </row>
    <row r="118" spans="1:9" x14ac:dyDescent="0.25">
      <c r="A118"/>
      <c r="I118"/>
    </row>
    <row r="119" spans="1:9" x14ac:dyDescent="0.25">
      <c r="A119"/>
      <c r="I119"/>
    </row>
    <row r="120" spans="1:9" x14ac:dyDescent="0.25">
      <c r="A120"/>
      <c r="I120"/>
    </row>
    <row r="121" spans="1:9" x14ac:dyDescent="0.25">
      <c r="A121"/>
      <c r="I121"/>
    </row>
    <row r="122" spans="1:9" x14ac:dyDescent="0.25">
      <c r="A122"/>
      <c r="I122"/>
    </row>
    <row r="123" spans="1:9" x14ac:dyDescent="0.25">
      <c r="A123"/>
      <c r="I123"/>
    </row>
    <row r="124" spans="1:9" x14ac:dyDescent="0.25">
      <c r="A124"/>
      <c r="I124"/>
    </row>
    <row r="125" spans="1:9" x14ac:dyDescent="0.25">
      <c r="A125"/>
      <c r="I125"/>
    </row>
    <row r="126" spans="1:9" x14ac:dyDescent="0.25">
      <c r="A126"/>
      <c r="I126"/>
    </row>
    <row r="127" spans="1:9" x14ac:dyDescent="0.25">
      <c r="A127"/>
      <c r="I127"/>
    </row>
    <row r="128" spans="1:9" x14ac:dyDescent="0.25">
      <c r="A128"/>
      <c r="I128"/>
    </row>
    <row r="129" spans="1:9" x14ac:dyDescent="0.25">
      <c r="A129"/>
      <c r="I129"/>
    </row>
    <row r="130" spans="1:9" x14ac:dyDescent="0.25">
      <c r="A130"/>
      <c r="I130"/>
    </row>
    <row r="131" spans="1:9" x14ac:dyDescent="0.25">
      <c r="A131"/>
      <c r="I131"/>
    </row>
    <row r="132" spans="1:9" x14ac:dyDescent="0.25">
      <c r="A132"/>
      <c r="I132"/>
    </row>
    <row r="133" spans="1:9" x14ac:dyDescent="0.25">
      <c r="A133"/>
      <c r="I133"/>
    </row>
    <row r="134" spans="1:9" x14ac:dyDescent="0.25">
      <c r="A134"/>
      <c r="I134"/>
    </row>
    <row r="135" spans="1:9" x14ac:dyDescent="0.25">
      <c r="A135"/>
      <c r="I135"/>
    </row>
    <row r="136" spans="1:9" x14ac:dyDescent="0.25">
      <c r="A136"/>
      <c r="I136"/>
    </row>
    <row r="137" spans="1:9" x14ac:dyDescent="0.25">
      <c r="A137"/>
      <c r="I137"/>
    </row>
    <row r="138" spans="1:9" x14ac:dyDescent="0.25">
      <c r="A138"/>
      <c r="I138"/>
    </row>
    <row r="139" spans="1:9" x14ac:dyDescent="0.25">
      <c r="A139"/>
      <c r="I139"/>
    </row>
    <row r="140" spans="1:9" x14ac:dyDescent="0.25">
      <c r="A140"/>
      <c r="I140"/>
    </row>
    <row r="141" spans="1:9" x14ac:dyDescent="0.25">
      <c r="A141"/>
      <c r="I141"/>
    </row>
    <row r="142" spans="1:9" x14ac:dyDescent="0.25">
      <c r="A142"/>
      <c r="I142"/>
    </row>
    <row r="143" spans="1:9" x14ac:dyDescent="0.25">
      <c r="A143"/>
      <c r="I143"/>
    </row>
    <row r="144" spans="1:9" x14ac:dyDescent="0.25">
      <c r="A144"/>
      <c r="I144"/>
    </row>
    <row r="145" spans="1:9" x14ac:dyDescent="0.25">
      <c r="A145"/>
      <c r="I145"/>
    </row>
    <row r="146" spans="1:9" x14ac:dyDescent="0.25">
      <c r="A146"/>
      <c r="I146"/>
    </row>
    <row r="147" spans="1:9" x14ac:dyDescent="0.25">
      <c r="A147"/>
      <c r="I147"/>
    </row>
    <row r="148" spans="1:9" x14ac:dyDescent="0.25">
      <c r="A148"/>
      <c r="I148"/>
    </row>
    <row r="149" spans="1:9" x14ac:dyDescent="0.25">
      <c r="A149"/>
      <c r="I149"/>
    </row>
    <row r="150" spans="1:9" x14ac:dyDescent="0.25">
      <c r="A150"/>
      <c r="I150"/>
    </row>
    <row r="151" spans="1:9" x14ac:dyDescent="0.25">
      <c r="A151"/>
      <c r="I151"/>
    </row>
    <row r="152" spans="1:9" x14ac:dyDescent="0.25">
      <c r="A152"/>
      <c r="I152"/>
    </row>
    <row r="153" spans="1:9" x14ac:dyDescent="0.25">
      <c r="I153"/>
    </row>
    <row r="154" spans="1:9" x14ac:dyDescent="0.25">
      <c r="I154"/>
    </row>
    <row r="155" spans="1:9" x14ac:dyDescent="0.25">
      <c r="I155"/>
    </row>
    <row r="156" spans="1:9" x14ac:dyDescent="0.25">
      <c r="I156"/>
    </row>
    <row r="157" spans="1:9" x14ac:dyDescent="0.25">
      <c r="I157"/>
    </row>
    <row r="158" spans="1:9" x14ac:dyDescent="0.25">
      <c r="I158"/>
    </row>
    <row r="159" spans="1:9" x14ac:dyDescent="0.25">
      <c r="I159"/>
    </row>
    <row r="160" spans="1:9" x14ac:dyDescent="0.25">
      <c r="I160"/>
    </row>
    <row r="161" spans="9:9" x14ac:dyDescent="0.25">
      <c r="I161"/>
    </row>
    <row r="162" spans="9:9" x14ac:dyDescent="0.25">
      <c r="I162"/>
    </row>
    <row r="163" spans="9:9" x14ac:dyDescent="0.25">
      <c r="I163"/>
    </row>
    <row r="164" spans="9:9" x14ac:dyDescent="0.25">
      <c r="I164"/>
    </row>
    <row r="165" spans="9:9" x14ac:dyDescent="0.25">
      <c r="I165"/>
    </row>
    <row r="166" spans="9:9" x14ac:dyDescent="0.25">
      <c r="I166"/>
    </row>
    <row r="167" spans="9:9" x14ac:dyDescent="0.25">
      <c r="I167"/>
    </row>
    <row r="168" spans="9:9" x14ac:dyDescent="0.25">
      <c r="I168"/>
    </row>
    <row r="169" spans="9:9" x14ac:dyDescent="0.25">
      <c r="I169"/>
    </row>
    <row r="170" spans="9:9" x14ac:dyDescent="0.25">
      <c r="I170"/>
    </row>
    <row r="171" spans="9:9" x14ac:dyDescent="0.25">
      <c r="I171"/>
    </row>
    <row r="172" spans="9:9" x14ac:dyDescent="0.25">
      <c r="I172"/>
    </row>
    <row r="173" spans="9:9" x14ac:dyDescent="0.25">
      <c r="I173"/>
    </row>
    <row r="174" spans="9:9" x14ac:dyDescent="0.25">
      <c r="I174"/>
    </row>
    <row r="175" spans="9:9" x14ac:dyDescent="0.25">
      <c r="I175"/>
    </row>
    <row r="176" spans="9:9" x14ac:dyDescent="0.25">
      <c r="I176"/>
    </row>
    <row r="177" spans="9:9" x14ac:dyDescent="0.25">
      <c r="I177"/>
    </row>
    <row r="178" spans="9:9" x14ac:dyDescent="0.25">
      <c r="I178"/>
    </row>
    <row r="179" spans="9:9" x14ac:dyDescent="0.25">
      <c r="I179"/>
    </row>
    <row r="180" spans="9:9" x14ac:dyDescent="0.25">
      <c r="I180"/>
    </row>
    <row r="181" spans="9:9" x14ac:dyDescent="0.25">
      <c r="I181"/>
    </row>
    <row r="182" spans="9:9" x14ac:dyDescent="0.25">
      <c r="I182"/>
    </row>
    <row r="183" spans="9:9" x14ac:dyDescent="0.25">
      <c r="I183"/>
    </row>
    <row r="184" spans="9:9" x14ac:dyDescent="0.25">
      <c r="I184"/>
    </row>
    <row r="185" spans="9:9" x14ac:dyDescent="0.25">
      <c r="I185"/>
    </row>
    <row r="186" spans="9:9" x14ac:dyDescent="0.25">
      <c r="I186"/>
    </row>
    <row r="187" spans="9:9" x14ac:dyDescent="0.25">
      <c r="I187"/>
    </row>
    <row r="188" spans="9:9" x14ac:dyDescent="0.25">
      <c r="I188"/>
    </row>
    <row r="189" spans="9:9" x14ac:dyDescent="0.25">
      <c r="I189"/>
    </row>
    <row r="190" spans="9:9" x14ac:dyDescent="0.25">
      <c r="I190"/>
    </row>
    <row r="191" spans="9:9" x14ac:dyDescent="0.25">
      <c r="I191"/>
    </row>
    <row r="192" spans="9:9" x14ac:dyDescent="0.25">
      <c r="I192"/>
    </row>
    <row r="193" spans="9:9" x14ac:dyDescent="0.25">
      <c r="I193"/>
    </row>
    <row r="194" spans="9:9" x14ac:dyDescent="0.25">
      <c r="I194"/>
    </row>
    <row r="195" spans="9:9" x14ac:dyDescent="0.25">
      <c r="I195"/>
    </row>
    <row r="196" spans="9:9" x14ac:dyDescent="0.25">
      <c r="I196"/>
    </row>
    <row r="197" spans="9:9" x14ac:dyDescent="0.25">
      <c r="I197"/>
    </row>
  </sheetData>
  <mergeCells count="14">
    <mergeCell ref="L1:Y1"/>
    <mergeCell ref="D23:G23"/>
    <mergeCell ref="B30:H30"/>
    <mergeCell ref="D18:H18"/>
    <mergeCell ref="D24:G24"/>
    <mergeCell ref="D26:G26"/>
    <mergeCell ref="D19:G19"/>
    <mergeCell ref="D20:G20"/>
    <mergeCell ref="B18:C18"/>
    <mergeCell ref="B2:H2"/>
    <mergeCell ref="B17:H17"/>
    <mergeCell ref="B1:H1"/>
    <mergeCell ref="D21:G21"/>
    <mergeCell ref="D22:G22"/>
  </mergeCell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3712A-C8B0-4050-A201-DAA98AFD71A1}">
  <sheetPr>
    <tabColor theme="4"/>
    <pageSetUpPr fitToPage="1"/>
  </sheetPr>
  <dimension ref="A1:O86"/>
  <sheetViews>
    <sheetView zoomScale="70" zoomScaleNormal="70" workbookViewId="0">
      <selection activeCell="A15" sqref="A15:XFD15"/>
    </sheetView>
  </sheetViews>
  <sheetFormatPr defaultColWidth="11" defaultRowHeight="15.75" x14ac:dyDescent="0.25"/>
  <cols>
    <col min="1" max="1" width="4.25" customWidth="1"/>
    <col min="2" max="2" width="57.5" customWidth="1"/>
    <col min="3" max="3" width="17.125" customWidth="1"/>
    <col min="4" max="4" width="17.25" customWidth="1"/>
    <col min="5" max="5" width="10.5" customWidth="1"/>
    <col min="6" max="6" width="9.625" customWidth="1"/>
    <col min="7" max="7" width="9.25" customWidth="1"/>
    <col min="8" max="8" width="5.25" customWidth="1"/>
  </cols>
  <sheetData>
    <row r="1" spans="1:9" ht="36.75" customHeight="1" x14ac:dyDescent="0.4">
      <c r="A1" s="323"/>
      <c r="B1" s="391" t="s">
        <v>216</v>
      </c>
      <c r="C1" s="387"/>
      <c r="D1" s="387"/>
      <c r="E1" s="387"/>
      <c r="F1" s="387"/>
      <c r="G1" s="387"/>
      <c r="H1" s="392"/>
    </row>
    <row r="2" spans="1:9" ht="31.5" customHeight="1" thickBot="1" x14ac:dyDescent="0.4">
      <c r="A2" s="323"/>
      <c r="B2" s="393" t="str">
        <f>+'Produktionsdata input'!C7</f>
        <v>Testgården</v>
      </c>
      <c r="C2" s="384"/>
      <c r="D2" s="384"/>
      <c r="E2" s="384"/>
      <c r="F2" s="384"/>
      <c r="G2" s="384"/>
      <c r="H2" s="394"/>
    </row>
    <row r="3" spans="1:9" ht="75" customHeight="1" thickBot="1" x14ac:dyDescent="0.4">
      <c r="A3" s="323"/>
      <c r="B3" s="147" t="s">
        <v>75</v>
      </c>
      <c r="C3" s="294" t="s">
        <v>231</v>
      </c>
      <c r="D3" s="297" t="s">
        <v>232</v>
      </c>
      <c r="E3" s="19"/>
      <c r="F3" s="19"/>
      <c r="G3" s="130"/>
      <c r="H3" s="324"/>
    </row>
    <row r="4" spans="1:9" ht="23.25" x14ac:dyDescent="0.35">
      <c r="A4" s="323"/>
      <c r="B4" s="157" t="str">
        <f>+Beregningmotor!B27</f>
        <v>Smågris</v>
      </c>
      <c r="C4" s="153">
        <f>+Beregningmotor!P27</f>
        <v>0</v>
      </c>
      <c r="D4" s="156">
        <f>+Beregningmotor!Q27</f>
        <v>42.66925652157628</v>
      </c>
      <c r="E4" s="35"/>
      <c r="F4" s="35"/>
      <c r="G4" s="35"/>
      <c r="H4" s="325"/>
    </row>
    <row r="5" spans="1:9" ht="23.25" x14ac:dyDescent="0.35">
      <c r="A5" s="323"/>
      <c r="B5" s="157" t="s">
        <v>39</v>
      </c>
      <c r="C5" s="153">
        <f>+Beregningmotor!P28</f>
        <v>21.683874377325886</v>
      </c>
      <c r="D5" s="156">
        <f>+Beregningmotor!Q28</f>
        <v>40.060130149525087</v>
      </c>
      <c r="E5" s="35"/>
      <c r="F5" s="35"/>
      <c r="G5" s="35"/>
      <c r="H5" s="325"/>
    </row>
    <row r="6" spans="1:9" ht="23.25" x14ac:dyDescent="0.35">
      <c r="A6" s="323"/>
      <c r="B6" s="157" t="str">
        <f>+Beregningmotor!B29</f>
        <v>Energi</v>
      </c>
      <c r="C6" s="153">
        <f>+Beregningmotor!P29</f>
        <v>3.4</v>
      </c>
      <c r="D6" s="156">
        <f>+Beregningmotor!Q29</f>
        <v>4.0999999999999996</v>
      </c>
      <c r="E6" s="35"/>
      <c r="F6" s="35"/>
      <c r="G6" s="35"/>
      <c r="H6" s="325"/>
    </row>
    <row r="7" spans="1:9" ht="23.25" x14ac:dyDescent="0.35">
      <c r="A7" s="323"/>
      <c r="B7" s="157" t="str">
        <f>+Beregningmotor!B30</f>
        <v xml:space="preserve">Fordøjelse </v>
      </c>
      <c r="C7" s="153">
        <f>+Beregningmotor!P30</f>
        <v>2.1</v>
      </c>
      <c r="D7" s="156">
        <f>+Beregningmotor!Q30</f>
        <v>1.9</v>
      </c>
      <c r="E7" s="35"/>
      <c r="F7" s="35"/>
      <c r="G7" s="35"/>
      <c r="H7" s="325"/>
    </row>
    <row r="8" spans="1:9" ht="20.25" customHeight="1" x14ac:dyDescent="0.35">
      <c r="A8" s="323"/>
      <c r="B8" s="157" t="str">
        <f>+Beregningmotor!B31</f>
        <v>Tillæg for polte</v>
      </c>
      <c r="C8" s="153">
        <f>+Beregningmotor!P31</f>
        <v>2.2026666666666666</v>
      </c>
      <c r="D8" s="156">
        <f>+Beregningmotor!Q31</f>
        <v>0</v>
      </c>
      <c r="E8" s="35"/>
      <c r="F8" s="35"/>
      <c r="G8" s="35"/>
      <c r="H8" s="325"/>
    </row>
    <row r="9" spans="1:9" ht="20.25" customHeight="1" x14ac:dyDescent="0.35">
      <c r="A9" s="323"/>
      <c r="B9" s="157" t="str">
        <f>+Beregningmotor!B32</f>
        <v>Stald og gylleopbevaring (gødninmgsproduktion)</v>
      </c>
      <c r="C9" s="153">
        <f>+Beregningmotor!P32</f>
        <v>10.8</v>
      </c>
      <c r="D9" s="156">
        <f>+Beregningmotor!Q32</f>
        <v>8.1</v>
      </c>
      <c r="E9" s="35"/>
      <c r="F9" s="35"/>
      <c r="G9" s="35"/>
      <c r="H9" s="325"/>
    </row>
    <row r="10" spans="1:9" ht="23.25" hidden="1" x14ac:dyDescent="0.35">
      <c r="A10" s="323"/>
      <c r="B10" s="157" t="e">
        <f>+Beregningmotor!#REF!</f>
        <v>#REF!</v>
      </c>
      <c r="C10" s="153" t="e">
        <f>+Beregningmotor!#REF!</f>
        <v>#REF!</v>
      </c>
      <c r="D10" s="156" t="e">
        <f>+Beregningmotor!#REF!</f>
        <v>#REF!</v>
      </c>
      <c r="E10" s="35"/>
      <c r="F10" s="35"/>
      <c r="G10" s="35"/>
      <c r="H10" s="325"/>
    </row>
    <row r="11" spans="1:9" ht="23.25" x14ac:dyDescent="0.35">
      <c r="A11" s="323"/>
      <c r="B11" s="157" t="str">
        <f>+Beregningmotor!B33</f>
        <v>Strøelse + diverse</v>
      </c>
      <c r="C11" s="153">
        <f>+Beregningmotor!P33</f>
        <v>1</v>
      </c>
      <c r="D11" s="156">
        <f>+Beregningmotor!Q33</f>
        <v>5.6000000000000001E-2</v>
      </c>
      <c r="E11" s="35"/>
      <c r="F11" s="35"/>
      <c r="G11" s="35"/>
      <c r="H11" s="325"/>
    </row>
    <row r="12" spans="1:9" ht="19.5" customHeight="1" x14ac:dyDescent="0.35">
      <c r="A12" s="323"/>
      <c r="B12" s="157" t="str">
        <f>+Beregningmotor!B34</f>
        <v>Miljøteknologi</v>
      </c>
      <c r="C12" s="153">
        <f>+Beregningmotor!P34</f>
        <v>0</v>
      </c>
      <c r="D12" s="156">
        <f>+Beregningmotor!Q34</f>
        <v>0</v>
      </c>
      <c r="E12" s="35"/>
      <c r="F12" s="35"/>
      <c r="G12" s="35"/>
      <c r="H12" s="325"/>
    </row>
    <row r="13" spans="1:9" ht="19.5" customHeight="1" x14ac:dyDescent="0.35">
      <c r="A13" s="323"/>
      <c r="B13" s="157" t="str">
        <f>+Beregningmotor!B35</f>
        <v>Gylle håndtering</v>
      </c>
      <c r="C13" s="153">
        <f>+Beregningmotor!P35</f>
        <v>0</v>
      </c>
      <c r="D13" s="156">
        <f>+Beregningmotor!Q35</f>
        <v>0</v>
      </c>
      <c r="E13" s="35"/>
      <c r="F13" s="35"/>
      <c r="G13" s="35"/>
      <c r="H13" s="325"/>
    </row>
    <row r="14" spans="1:9" ht="24" thickBot="1" x14ac:dyDescent="0.4">
      <c r="A14" s="323"/>
      <c r="B14" s="157" t="str">
        <f>+Beregningmotor!B36</f>
        <v>Biogas metan -emissioner</v>
      </c>
      <c r="C14" s="153">
        <f>+Beregningmotor!P36</f>
        <v>0</v>
      </c>
      <c r="D14" s="156">
        <f>+Beregningmotor!Q36</f>
        <v>0</v>
      </c>
      <c r="E14" s="35"/>
      <c r="F14" s="35"/>
      <c r="G14" s="35"/>
      <c r="H14" s="325"/>
      <c r="I14" s="125"/>
    </row>
    <row r="15" spans="1:9" ht="24" thickBot="1" x14ac:dyDescent="0.4">
      <c r="A15" s="323"/>
      <c r="B15" s="295" t="s">
        <v>150</v>
      </c>
      <c r="C15" s="296">
        <f>+Beregningmotor!P37</f>
        <v>41.186541043992548</v>
      </c>
      <c r="D15" s="340">
        <f>+Beregningmotor!Q37</f>
        <v>96.885386671101358</v>
      </c>
      <c r="E15" s="131"/>
      <c r="F15" s="131"/>
      <c r="G15" s="131"/>
      <c r="H15" s="326"/>
    </row>
    <row r="16" spans="1:9" x14ac:dyDescent="0.25">
      <c r="A16" s="323"/>
      <c r="B16" s="389"/>
      <c r="C16" s="389"/>
      <c r="D16" s="389"/>
      <c r="E16" s="389"/>
      <c r="F16" s="389"/>
      <c r="G16" s="389"/>
      <c r="H16" s="390"/>
    </row>
    <row r="17" spans="1:15" x14ac:dyDescent="0.25">
      <c r="A17" s="323"/>
      <c r="C17" s="4"/>
      <c r="H17" s="320"/>
    </row>
    <row r="18" spans="1:15" x14ac:dyDescent="0.25">
      <c r="A18" s="323"/>
      <c r="C18" s="4"/>
      <c r="H18" s="320"/>
    </row>
    <row r="19" spans="1:15" x14ac:dyDescent="0.25">
      <c r="A19" s="323"/>
      <c r="C19" s="4"/>
      <c r="H19" s="320"/>
    </row>
    <row r="20" spans="1:15" x14ac:dyDescent="0.25">
      <c r="A20" s="323"/>
      <c r="C20" s="4"/>
      <c r="H20" s="320"/>
    </row>
    <row r="21" spans="1:15" x14ac:dyDescent="0.25">
      <c r="A21" s="323"/>
      <c r="C21" s="4"/>
      <c r="H21" s="320"/>
      <c r="O21" s="4"/>
    </row>
    <row r="22" spans="1:15" x14ac:dyDescent="0.25">
      <c r="A22" s="323"/>
      <c r="C22" s="4"/>
      <c r="H22" s="320"/>
    </row>
    <row r="23" spans="1:15" x14ac:dyDescent="0.25">
      <c r="A23" s="323"/>
      <c r="C23" s="4"/>
      <c r="H23" s="320"/>
    </row>
    <row r="24" spans="1:15" x14ac:dyDescent="0.25">
      <c r="A24" s="323"/>
      <c r="C24" s="4"/>
      <c r="H24" s="320"/>
    </row>
    <row r="25" spans="1:15" x14ac:dyDescent="0.25">
      <c r="A25" s="323"/>
      <c r="C25" s="4"/>
      <c r="H25" s="320"/>
    </row>
    <row r="26" spans="1:15" x14ac:dyDescent="0.25">
      <c r="A26" s="323"/>
      <c r="C26" s="4"/>
      <c r="H26" s="320"/>
    </row>
    <row r="27" spans="1:15" x14ac:dyDescent="0.25">
      <c r="A27" s="323"/>
      <c r="C27" s="4"/>
      <c r="H27" s="320"/>
    </row>
    <row r="28" spans="1:15" x14ac:dyDescent="0.25">
      <c r="A28" s="323"/>
      <c r="C28" s="4"/>
      <c r="H28" s="320"/>
    </row>
    <row r="29" spans="1:15" x14ac:dyDescent="0.25">
      <c r="A29" s="323"/>
      <c r="C29" s="4"/>
      <c r="H29" s="320"/>
    </row>
    <row r="30" spans="1:15" x14ac:dyDescent="0.25">
      <c r="A30" s="323"/>
      <c r="C30" s="4"/>
      <c r="H30" s="320"/>
    </row>
    <row r="31" spans="1:15" x14ac:dyDescent="0.25">
      <c r="A31" s="323"/>
      <c r="C31" s="4"/>
      <c r="H31" s="320"/>
    </row>
    <row r="32" spans="1:15" x14ac:dyDescent="0.25">
      <c r="A32" s="323"/>
      <c r="C32" s="4"/>
      <c r="H32" s="320"/>
    </row>
    <row r="33" spans="1:8" x14ac:dyDescent="0.25">
      <c r="A33" s="323"/>
      <c r="C33" s="4"/>
      <c r="H33" s="320"/>
    </row>
    <row r="34" spans="1:8" x14ac:dyDescent="0.25">
      <c r="A34" s="323"/>
      <c r="C34" s="4"/>
      <c r="H34" s="320"/>
    </row>
    <row r="35" spans="1:8" x14ac:dyDescent="0.25">
      <c r="A35" s="323"/>
      <c r="C35" s="4"/>
      <c r="H35" s="320"/>
    </row>
    <row r="36" spans="1:8" x14ac:dyDescent="0.25">
      <c r="A36" s="323"/>
      <c r="C36" s="4"/>
      <c r="H36" s="320"/>
    </row>
    <row r="37" spans="1:8" x14ac:dyDescent="0.25">
      <c r="A37" s="323"/>
      <c r="B37" s="320"/>
      <c r="C37" s="320"/>
      <c r="D37" s="320"/>
      <c r="E37" s="320"/>
      <c r="F37" s="320"/>
      <c r="G37" s="320"/>
      <c r="H37" s="320"/>
    </row>
    <row r="38" spans="1:8" x14ac:dyDescent="0.25">
      <c r="A38" s="323"/>
      <c r="C38" s="4"/>
      <c r="H38" s="320"/>
    </row>
    <row r="39" spans="1:8" x14ac:dyDescent="0.25">
      <c r="A39" s="323"/>
      <c r="C39" s="4"/>
      <c r="H39" s="320"/>
    </row>
    <row r="40" spans="1:8" x14ac:dyDescent="0.25">
      <c r="A40" s="323"/>
      <c r="C40" s="4"/>
      <c r="H40" s="320"/>
    </row>
    <row r="41" spans="1:8" x14ac:dyDescent="0.25">
      <c r="A41" s="323"/>
      <c r="C41" s="4"/>
      <c r="H41" s="320"/>
    </row>
    <row r="42" spans="1:8" x14ac:dyDescent="0.25">
      <c r="A42" s="323"/>
      <c r="C42" s="4"/>
      <c r="H42" s="320"/>
    </row>
    <row r="43" spans="1:8" x14ac:dyDescent="0.25">
      <c r="A43" s="323"/>
      <c r="C43" s="4"/>
      <c r="H43" s="320"/>
    </row>
    <row r="44" spans="1:8" x14ac:dyDescent="0.25">
      <c r="A44" s="323"/>
      <c r="C44" s="4"/>
      <c r="H44" s="320"/>
    </row>
    <row r="45" spans="1:8" x14ac:dyDescent="0.25">
      <c r="A45" s="323"/>
      <c r="C45" s="4"/>
      <c r="H45" s="320"/>
    </row>
    <row r="46" spans="1:8" x14ac:dyDescent="0.25">
      <c r="A46" s="323"/>
      <c r="C46" s="4"/>
      <c r="H46" s="320"/>
    </row>
    <row r="47" spans="1:8" x14ac:dyDescent="0.25">
      <c r="A47" s="323"/>
      <c r="C47" s="4"/>
      <c r="H47" s="320"/>
    </row>
    <row r="48" spans="1:8" x14ac:dyDescent="0.25">
      <c r="A48" s="323"/>
      <c r="C48" s="4"/>
      <c r="H48" s="320"/>
    </row>
    <row r="49" spans="1:8" x14ac:dyDescent="0.25">
      <c r="A49" s="323"/>
      <c r="C49" s="4"/>
      <c r="H49" s="320"/>
    </row>
    <row r="50" spans="1:8" x14ac:dyDescent="0.25">
      <c r="A50" s="323"/>
      <c r="C50" s="4"/>
      <c r="H50" s="320"/>
    </row>
    <row r="51" spans="1:8" x14ac:dyDescent="0.25">
      <c r="A51" s="323"/>
      <c r="C51" s="4"/>
      <c r="H51" s="320"/>
    </row>
    <row r="52" spans="1:8" x14ac:dyDescent="0.25">
      <c r="A52" s="323"/>
      <c r="C52" s="4"/>
      <c r="H52" s="320"/>
    </row>
    <row r="53" spans="1:8" x14ac:dyDescent="0.25">
      <c r="A53" s="323"/>
      <c r="C53" s="4"/>
      <c r="H53" s="320"/>
    </row>
    <row r="54" spans="1:8" x14ac:dyDescent="0.25">
      <c r="A54" s="323"/>
      <c r="C54" s="4"/>
      <c r="H54" s="320"/>
    </row>
    <row r="55" spans="1:8" x14ac:dyDescent="0.25">
      <c r="A55" s="323"/>
      <c r="C55" s="4"/>
      <c r="H55" s="320"/>
    </row>
    <row r="56" spans="1:8" ht="18.75" x14ac:dyDescent="0.3">
      <c r="A56" s="323"/>
      <c r="B56" s="327"/>
      <c r="C56" s="327"/>
      <c r="D56" s="327"/>
      <c r="E56" s="327"/>
      <c r="F56" s="327"/>
      <c r="G56" s="327"/>
      <c r="H56" s="327"/>
    </row>
    <row r="57" spans="1:8" x14ac:dyDescent="0.25">
      <c r="C57" s="4"/>
    </row>
    <row r="58" spans="1:8" x14ac:dyDescent="0.25">
      <c r="C58" s="4"/>
    </row>
    <row r="59" spans="1:8" x14ac:dyDescent="0.25">
      <c r="C59" s="4"/>
    </row>
    <row r="60" spans="1:8" x14ac:dyDescent="0.25">
      <c r="C60" s="4"/>
    </row>
    <row r="61" spans="1:8" x14ac:dyDescent="0.25">
      <c r="C61" s="4"/>
    </row>
    <row r="62" spans="1:8" x14ac:dyDescent="0.25">
      <c r="C62" s="4"/>
    </row>
    <row r="63" spans="1:8" x14ac:dyDescent="0.25">
      <c r="C63" s="4"/>
    </row>
    <row r="64" spans="1:8" x14ac:dyDescent="0.25">
      <c r="C64" s="4"/>
    </row>
    <row r="65" spans="2:6" x14ac:dyDescent="0.25">
      <c r="C65" s="4"/>
    </row>
    <row r="66" spans="2:6" x14ac:dyDescent="0.25">
      <c r="C66" s="4"/>
    </row>
    <row r="67" spans="2:6" x14ac:dyDescent="0.25">
      <c r="C67" s="4"/>
    </row>
    <row r="68" spans="2:6" x14ac:dyDescent="0.25">
      <c r="C68" s="4"/>
    </row>
    <row r="69" spans="2:6" x14ac:dyDescent="0.25">
      <c r="C69" s="4"/>
    </row>
    <row r="70" spans="2:6" x14ac:dyDescent="0.25">
      <c r="C70" s="4"/>
    </row>
    <row r="74" spans="2:6" ht="27" thickBot="1" x14ac:dyDescent="0.45">
      <c r="B74" s="48" t="s">
        <v>79</v>
      </c>
    </row>
    <row r="75" spans="2:6" ht="16.5" thickBot="1" x14ac:dyDescent="0.3">
      <c r="B75" s="132" t="str">
        <f>+'Produktionsdata input'!B11</f>
        <v>Besætning CHR nr.</v>
      </c>
      <c r="C75" s="133"/>
      <c r="D75" s="45"/>
      <c r="E75" s="50" t="s">
        <v>149</v>
      </c>
      <c r="F75" s="52" t="s">
        <v>108</v>
      </c>
    </row>
    <row r="76" spans="2:6" x14ac:dyDescent="0.25">
      <c r="B76" s="123" t="s">
        <v>151</v>
      </c>
      <c r="C76" s="124"/>
      <c r="D76" s="67"/>
      <c r="E76" s="53">
        <f>+'Produktionsdata input'!G15</f>
        <v>1000</v>
      </c>
      <c r="F76" s="54">
        <f>+'Produktionsdata input'!H15</f>
        <v>33600</v>
      </c>
    </row>
    <row r="77" spans="2:6" x14ac:dyDescent="0.25">
      <c r="B77" s="123" t="s">
        <v>152</v>
      </c>
      <c r="C77" s="124"/>
      <c r="D77" s="67"/>
      <c r="E77" s="55">
        <f>+'Produktionsdata input'!G16</f>
        <v>6.4</v>
      </c>
      <c r="F77" s="122">
        <f>+'Produktionsdata input'!H18</f>
        <v>30</v>
      </c>
    </row>
    <row r="78" spans="2:6" x14ac:dyDescent="0.25">
      <c r="B78" s="123" t="s">
        <v>81</v>
      </c>
      <c r="C78" s="124"/>
      <c r="D78" s="67"/>
      <c r="E78" s="55">
        <f>+'Produktionsdata input'!G19</f>
        <v>1516</v>
      </c>
      <c r="F78" s="20">
        <f>+'Produktionsdata input'!H19</f>
        <v>1.82</v>
      </c>
    </row>
    <row r="79" spans="2:6" x14ac:dyDescent="0.25">
      <c r="B79" s="123" t="s">
        <v>153</v>
      </c>
      <c r="C79" s="124"/>
      <c r="D79" s="67"/>
      <c r="E79" s="62">
        <f>+'Produktionsdata input'!G20</f>
        <v>0.23599999999999999</v>
      </c>
      <c r="F79" s="63">
        <f>+'Produktionsdata input'!H20</f>
        <v>3.5999999999999997E-2</v>
      </c>
    </row>
    <row r="80" spans="2:6" x14ac:dyDescent="0.25">
      <c r="B80" s="123" t="str">
        <f>+'Produktionsdata input'!B21</f>
        <v>Energiforbrug, omregnet til El i KWh per gris</v>
      </c>
      <c r="C80" s="124"/>
      <c r="D80" s="67"/>
      <c r="E80" s="38">
        <f>+'Produktionsdata input'!G21</f>
        <v>10</v>
      </c>
      <c r="F80" s="20">
        <f>+'Produktionsdata input'!H21</f>
        <v>12</v>
      </c>
    </row>
    <row r="81" spans="2:6" x14ac:dyDescent="0.25">
      <c r="B81" s="123" t="str">
        <f>+'Produktionsdata input'!B22</f>
        <v>Strøelse , kg per gris</v>
      </c>
      <c r="C81" s="124"/>
      <c r="D81" s="67"/>
      <c r="E81" s="55">
        <f>+'Produktionsdata input'!G22</f>
        <v>6</v>
      </c>
      <c r="F81" s="122">
        <f>+'Produktionsdata input'!H22</f>
        <v>1</v>
      </c>
    </row>
    <row r="82" spans="2:6" x14ac:dyDescent="0.25">
      <c r="B82" s="123" t="str">
        <f>+'Produktionsdata input'!B23</f>
        <v>Miljøteknologi -der reducerer lattergas</v>
      </c>
      <c r="C82" s="124"/>
      <c r="D82" s="67"/>
      <c r="E82" s="55" t="str">
        <f>+'Produktionsdata input'!G23</f>
        <v>Ingen miljøteknologi</v>
      </c>
      <c r="F82" s="122" t="str">
        <f>+'Produktionsdata input'!H23</f>
        <v>Ingen miljøteknologi</v>
      </c>
    </row>
    <row r="83" spans="2:6" x14ac:dyDescent="0.25">
      <c r="B83" s="123" t="str">
        <f>+'Produktionsdata input'!B24</f>
        <v>Hyppig gylleudslusning reducerer metan</v>
      </c>
      <c r="C83" s="124"/>
      <c r="D83" s="67"/>
      <c r="E83" s="55" t="str">
        <f>+'Produktionsdata input'!G24</f>
        <v>Ingen management</v>
      </c>
      <c r="F83" s="122" t="str">
        <f>+'Produktionsdata input'!H24</f>
        <v>Ingen management</v>
      </c>
    </row>
    <row r="84" spans="2:6" ht="16.5" thickBot="1" x14ac:dyDescent="0.3">
      <c r="B84" s="123" t="str">
        <f>+'Produktionsdata input'!B25</f>
        <v>Biogas fortrængningseffekt</v>
      </c>
      <c r="C84" s="124"/>
      <c r="D84" s="67"/>
      <c r="E84" s="134" t="str">
        <f>+'Produktionsdata input'!G25</f>
        <v>Uden biogas fortrængning</v>
      </c>
      <c r="F84" s="135" t="str">
        <f>+'Produktionsdata input'!H25</f>
        <v>Uden biogas fortrængning</v>
      </c>
    </row>
    <row r="86" spans="2:6" ht="23.25" x14ac:dyDescent="0.35">
      <c r="B86" s="49"/>
    </row>
  </sheetData>
  <mergeCells count="3">
    <mergeCell ref="B16:H16"/>
    <mergeCell ref="B1:H1"/>
    <mergeCell ref="B2:H2"/>
  </mergeCells>
  <pageMargins left="0.70866141732283472" right="0.70866141732283472" top="0.74803149606299213" bottom="0.74803149606299213" header="0.31496062992125984" footer="0.31496062992125984"/>
  <pageSetup paperSize="9" scale="6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B74C4-CD78-BC42-93F1-526BE49AAA8D}">
  <sheetPr>
    <tabColor theme="4"/>
  </sheetPr>
  <dimension ref="A5:R56"/>
  <sheetViews>
    <sheetView topLeftCell="A13" zoomScale="78" zoomScaleNormal="78" workbookViewId="0">
      <selection activeCell="B36" sqref="B36"/>
    </sheetView>
  </sheetViews>
  <sheetFormatPr defaultColWidth="11" defaultRowHeight="15.75" x14ac:dyDescent="0.25"/>
  <cols>
    <col min="2" max="2" width="42.375" customWidth="1"/>
    <col min="3" max="4" width="18.75" bestFit="1" customWidth="1"/>
    <col min="5" max="5" width="19.625" bestFit="1" customWidth="1"/>
    <col min="6" max="6" width="17.625" bestFit="1" customWidth="1"/>
    <col min="7" max="7" width="24" customWidth="1"/>
    <col min="8" max="8" width="13.5" bestFit="1" customWidth="1"/>
    <col min="9" max="11" width="13.5" customWidth="1"/>
    <col min="12" max="12" width="11.375" bestFit="1" customWidth="1"/>
    <col min="14" max="14" width="11.875" customWidth="1"/>
    <col min="15" max="15" width="13.75" customWidth="1"/>
    <col min="16" max="16" width="18.375" customWidth="1"/>
    <col min="17" max="17" width="23" customWidth="1"/>
  </cols>
  <sheetData>
    <row r="5" spans="2:17" x14ac:dyDescent="0.25">
      <c r="B5" s="2"/>
    </row>
    <row r="6" spans="2:17" x14ac:dyDescent="0.25">
      <c r="B6" s="2"/>
    </row>
    <row r="7" spans="2:17" ht="23.25" x14ac:dyDescent="0.35">
      <c r="B7" s="275" t="s">
        <v>173</v>
      </c>
      <c r="G7" s="395"/>
    </row>
    <row r="8" spans="2:17" x14ac:dyDescent="0.25">
      <c r="B8" s="84"/>
      <c r="G8" s="395"/>
    </row>
    <row r="10" spans="2:17" ht="21.75" thickBot="1" x14ac:dyDescent="0.4">
      <c r="B10" s="2"/>
      <c r="C10" s="396" t="s">
        <v>78</v>
      </c>
      <c r="D10" s="396"/>
      <c r="E10" s="396"/>
      <c r="F10" s="396"/>
      <c r="G10" s="396"/>
      <c r="H10" s="396" t="s">
        <v>182</v>
      </c>
      <c r="I10" s="396"/>
      <c r="J10" s="396"/>
      <c r="K10" s="396"/>
      <c r="L10" s="396"/>
      <c r="M10" s="396"/>
      <c r="N10" s="396"/>
      <c r="O10" s="396"/>
      <c r="P10" s="396" t="s">
        <v>78</v>
      </c>
      <c r="Q10" s="396"/>
    </row>
    <row r="11" spans="2:17" ht="31.5" x14ac:dyDescent="0.25">
      <c r="B11" s="183" t="str">
        <f>+'Produktionsdata input'!B11</f>
        <v>Besætning CHR nr.</v>
      </c>
      <c r="C11" s="180">
        <f>+'Produktionsdata input'!C11</f>
        <v>1</v>
      </c>
      <c r="D11" s="180">
        <f>+'Produktionsdata input'!D11</f>
        <v>2</v>
      </c>
      <c r="E11" s="180">
        <f>+'Produktionsdata input'!E11</f>
        <v>3</v>
      </c>
      <c r="F11" s="257">
        <f>+'Produktionsdata input'!F11</f>
        <v>4</v>
      </c>
      <c r="G11" s="274" t="s">
        <v>133</v>
      </c>
      <c r="H11" s="40"/>
      <c r="I11" s="40"/>
      <c r="J11" s="40"/>
      <c r="K11" s="40"/>
      <c r="L11" s="40"/>
      <c r="M11" s="40"/>
      <c r="N11" s="40"/>
      <c r="O11" s="68"/>
      <c r="P11" s="44">
        <v>5</v>
      </c>
      <c r="Q11" s="44">
        <v>6</v>
      </c>
    </row>
    <row r="12" spans="2:17" ht="42.75" customHeight="1" x14ac:dyDescent="0.35">
      <c r="B12" s="184" t="str">
        <f>+'Produktionsdata input'!B12</f>
        <v>Er denne lokalitet relevant for dig (ja=1 nej=0)?</v>
      </c>
      <c r="C12" s="182">
        <f>+'Produktionsdata input'!C12</f>
        <v>1</v>
      </c>
      <c r="D12" s="182">
        <f>+'Produktionsdata input'!D12</f>
        <v>1</v>
      </c>
      <c r="E12" s="182">
        <f>+'Produktionsdata input'!E12</f>
        <v>1</v>
      </c>
      <c r="F12" s="185">
        <f>+'Produktionsdata input'!F12</f>
        <v>1</v>
      </c>
      <c r="G12" s="261"/>
      <c r="H12" s="181"/>
      <c r="I12" s="181"/>
      <c r="J12" s="181"/>
      <c r="K12" s="181"/>
      <c r="L12" s="181"/>
      <c r="M12" s="181"/>
      <c r="N12" s="181"/>
      <c r="O12" s="209"/>
      <c r="P12" s="204">
        <f>+'Produktionsdata input'!G12</f>
        <v>1</v>
      </c>
      <c r="Q12" s="204">
        <f>+'Produktionsdata input'!H12</f>
        <v>1</v>
      </c>
    </row>
    <row r="13" spans="2:17" ht="63.75" thickBot="1" x14ac:dyDescent="0.3">
      <c r="B13" s="186" t="str">
        <f>+'Produktionsdata input'!B13</f>
        <v>Dyregruppe</v>
      </c>
      <c r="C13" s="187" t="str">
        <f>+'Produktionsdata input'!C13</f>
        <v>Slagtesvin</v>
      </c>
      <c r="D13" s="187" t="str">
        <f>+'Produktionsdata input'!D13</f>
        <v>Slagtesvin</v>
      </c>
      <c r="E13" s="187" t="str">
        <f>+'Produktionsdata input'!E13</f>
        <v>Slagtesvin</v>
      </c>
      <c r="F13" s="260" t="str">
        <f>+'Produktionsdata input'!F13</f>
        <v>Slagtesvin</v>
      </c>
      <c r="G13" s="262" t="s">
        <v>174</v>
      </c>
      <c r="H13" s="210" t="s">
        <v>175</v>
      </c>
      <c r="I13" s="210" t="s">
        <v>96</v>
      </c>
      <c r="J13" s="210" t="s">
        <v>176</v>
      </c>
      <c r="K13" s="210" t="s">
        <v>177</v>
      </c>
      <c r="L13" s="211" t="s">
        <v>178</v>
      </c>
      <c r="M13" s="212" t="s">
        <v>179</v>
      </c>
      <c r="N13" s="210" t="s">
        <v>180</v>
      </c>
      <c r="O13" s="213" t="s">
        <v>181</v>
      </c>
      <c r="P13" s="205" t="str">
        <f>+'Produktionsdata input'!G13</f>
        <v>Søer/frav. Grise</v>
      </c>
      <c r="Q13" s="205" t="str">
        <f>+'Produktionsdata input'!H13</f>
        <v>Smågrise</v>
      </c>
    </row>
    <row r="14" spans="2:17" ht="102" customHeight="1" x14ac:dyDescent="0.25">
      <c r="B14" s="183" t="str">
        <f>+'Produktionsdata input'!B14</f>
        <v>Smågrise: Indkøbt=1 egne smågrise =2</v>
      </c>
      <c r="C14" s="190">
        <f>+'Produktionsdata input'!C14</f>
        <v>1</v>
      </c>
      <c r="D14" s="190">
        <f>+'Produktionsdata input'!D14</f>
        <v>1</v>
      </c>
      <c r="E14" s="190">
        <f>+'Produktionsdata input'!E14</f>
        <v>1</v>
      </c>
      <c r="F14" s="191">
        <f>+'Produktionsdata input'!F14</f>
        <v>1</v>
      </c>
      <c r="G14" s="264"/>
      <c r="H14" s="41"/>
      <c r="I14" s="41"/>
      <c r="J14" s="41"/>
      <c r="K14" s="41"/>
      <c r="L14" s="42"/>
      <c r="M14" s="214"/>
      <c r="N14" s="41"/>
      <c r="O14" s="215"/>
      <c r="P14" s="43">
        <f>+'Produktionsdata input'!G14</f>
        <v>0</v>
      </c>
      <c r="Q14" s="191">
        <f>+'Produktionsdata input'!H14</f>
        <v>0</v>
      </c>
    </row>
    <row r="15" spans="2:17" ht="27.75" customHeight="1" x14ac:dyDescent="0.25">
      <c r="B15" s="184" t="str">
        <f>+'Produktionsdata input'!B15</f>
        <v>Antal (leverede slagtegrise/årssøer/solgte/overførte smågrise), årlig</v>
      </c>
      <c r="C15" s="182">
        <f>+'Produktionsdata input'!C15</f>
        <v>1000</v>
      </c>
      <c r="D15" s="182">
        <f>+'Produktionsdata input'!D15</f>
        <v>1000</v>
      </c>
      <c r="E15" s="182">
        <f>+'Produktionsdata input'!E15</f>
        <v>1000</v>
      </c>
      <c r="F15" s="185">
        <f>+'Produktionsdata input'!F15</f>
        <v>1000</v>
      </c>
      <c r="G15" s="204">
        <f>SUMPRODUCT(C15:F15,C12:F12)</f>
        <v>4000</v>
      </c>
      <c r="H15" s="19"/>
      <c r="I15" s="19"/>
      <c r="J15" s="19"/>
      <c r="K15" s="19"/>
      <c r="L15" s="179"/>
      <c r="M15" s="179"/>
      <c r="N15" s="179"/>
      <c r="O15" s="238"/>
      <c r="P15" s="204">
        <f>+'Produktionsdata input'!G15</f>
        <v>1000</v>
      </c>
      <c r="Q15" s="185">
        <f>+'Produktionsdata input'!H15</f>
        <v>33600</v>
      </c>
    </row>
    <row r="16" spans="2:17" x14ac:dyDescent="0.25">
      <c r="B16" s="184" t="str">
        <f>+'Produktionsdata input'!B16</f>
        <v>Indsættelsesvægt/fravænningsvægt, kg</v>
      </c>
      <c r="C16" s="182">
        <f>+'Produktionsdata input'!C16</f>
        <v>30</v>
      </c>
      <c r="D16" s="182">
        <f>+'Produktionsdata input'!D16</f>
        <v>30</v>
      </c>
      <c r="E16" s="182">
        <f>+'Produktionsdata input'!E16</f>
        <v>30</v>
      </c>
      <c r="F16" s="185">
        <f>+'Produktionsdata input'!F16</f>
        <v>30</v>
      </c>
      <c r="G16" s="30">
        <f>SUMPRODUCT($C$15:$F$15,C16:F16,$C$12:$F$12)/SUMPRODUCT($C$15:$F$15,C12:F12)</f>
        <v>30</v>
      </c>
      <c r="H16" s="35">
        <f>+G16</f>
        <v>30</v>
      </c>
      <c r="I16" s="19"/>
      <c r="J16" s="19">
        <f>+G16</f>
        <v>30</v>
      </c>
      <c r="K16" s="19"/>
      <c r="L16" s="179"/>
      <c r="M16" s="179"/>
      <c r="N16" s="179"/>
      <c r="O16" s="238"/>
      <c r="P16" s="30">
        <f>+'Produktionsdata input'!G16</f>
        <v>6.4</v>
      </c>
      <c r="Q16" s="63">
        <f>+'Produktionsdata input'!H16</f>
        <v>6.4</v>
      </c>
    </row>
    <row r="17" spans="1:18" x14ac:dyDescent="0.25">
      <c r="B17" s="192" t="str">
        <f>+'Produktionsdata input'!B17</f>
        <v>Slagtevægt, kg/grise per årsso</v>
      </c>
      <c r="C17" s="35">
        <f>+'Produktionsdata input'!C17</f>
        <v>88</v>
      </c>
      <c r="D17" s="35">
        <f>+'Produktionsdata input'!D17</f>
        <v>88</v>
      </c>
      <c r="E17" s="35">
        <f>+'Produktionsdata input'!E17</f>
        <v>88</v>
      </c>
      <c r="F17" s="63">
        <f>+'Produktionsdata input'!F17</f>
        <v>88</v>
      </c>
      <c r="G17" s="30">
        <f>SUMPRODUCT(C17:F17,$C$15:$F$15,$C$12:$F$12)/$G$15</f>
        <v>88</v>
      </c>
      <c r="H17" s="19">
        <f>+Værktøjskassen!C5</f>
        <v>88</v>
      </c>
      <c r="I17" s="19"/>
      <c r="J17" s="19"/>
      <c r="K17" s="19"/>
      <c r="L17" s="179"/>
      <c r="M17" s="179"/>
      <c r="N17" s="179"/>
      <c r="O17" s="238"/>
      <c r="P17" s="30">
        <f>+'Produktionsdata input'!G17</f>
        <v>33.9</v>
      </c>
      <c r="Q17" s="63">
        <f>+'Produktionsdata input'!H17</f>
        <v>0</v>
      </c>
    </row>
    <row r="18" spans="1:18" x14ac:dyDescent="0.25">
      <c r="B18" s="193" t="str">
        <f>+'Produktionsdata input'!B18</f>
        <v>Vægt ved slag/overførsel, kg</v>
      </c>
      <c r="C18" s="19">
        <f>+'Produktionsdata input'!C18</f>
        <v>115.28</v>
      </c>
      <c r="D18" s="19">
        <f>+'Produktionsdata input'!D18</f>
        <v>115.28</v>
      </c>
      <c r="E18" s="19">
        <f>+'Produktionsdata input'!E18</f>
        <v>115.28</v>
      </c>
      <c r="F18" s="122">
        <f>+'Produktionsdata input'!F18</f>
        <v>115.28</v>
      </c>
      <c r="G18" s="30">
        <f>SUMPRODUCT(C18:F18,$C$15:$F$15,$C$12:$F$12)/$G$15</f>
        <v>115.28</v>
      </c>
      <c r="H18" s="35">
        <f>+H17*1.31</f>
        <v>115.28</v>
      </c>
      <c r="I18" s="35"/>
      <c r="J18" s="35">
        <f>+G18</f>
        <v>115.28</v>
      </c>
      <c r="K18" s="35"/>
      <c r="L18" s="179"/>
      <c r="M18" s="179"/>
      <c r="N18" s="179"/>
      <c r="O18" s="238"/>
      <c r="P18" s="30">
        <f>+'Produktionsdata input'!G18</f>
        <v>0</v>
      </c>
      <c r="Q18" s="63">
        <f>+'Produktionsdata input'!H18</f>
        <v>30</v>
      </c>
    </row>
    <row r="19" spans="1:18" x14ac:dyDescent="0.25">
      <c r="B19" s="193" t="str">
        <f>+'Produktionsdata input'!B19</f>
        <v>Slagtesvin/smågrise, FEsv per kg tilvækst,         Søer FEso per årsso inkl. poltefoder fra 22 uger</v>
      </c>
      <c r="C19" s="37">
        <f>+'Produktionsdata input'!C19</f>
        <v>2.65</v>
      </c>
      <c r="D19" s="19">
        <f>+'Produktionsdata input'!D19</f>
        <v>2.65</v>
      </c>
      <c r="E19" s="37">
        <f>+'Produktionsdata input'!E19</f>
        <v>2.65</v>
      </c>
      <c r="F19" s="20">
        <f>+'Produktionsdata input'!F19</f>
        <v>2.65</v>
      </c>
      <c r="G19" s="265">
        <f>SUMPRODUCT(C19:F19,$C$15:$F$15,$C$12:$F$12)/$G$15</f>
        <v>2.65</v>
      </c>
      <c r="H19" s="19">
        <f>+Værktøjskassen!C6</f>
        <v>2.65</v>
      </c>
      <c r="I19" s="19"/>
      <c r="J19" s="35">
        <f>+J18-J16</f>
        <v>85.28</v>
      </c>
      <c r="K19" s="35"/>
      <c r="L19" s="179"/>
      <c r="M19" s="179"/>
      <c r="N19" s="179"/>
      <c r="O19" s="238"/>
      <c r="P19" s="30">
        <f>'Produktionsdata input'!G19/'Produktionsdata input'!G17</f>
        <v>44.719764011799413</v>
      </c>
      <c r="Q19" s="63">
        <f>+'Produktionsdata input'!H19</f>
        <v>1.82</v>
      </c>
      <c r="R19" s="82"/>
    </row>
    <row r="20" spans="1:18" x14ac:dyDescent="0.25">
      <c r="B20" s="193" t="str">
        <f>+'Produktionsdata input'!B20</f>
        <v>Dødeligheds pct./1. lægs pct</v>
      </c>
      <c r="C20" s="19">
        <f>+'Produktionsdata input'!C20</f>
        <v>3.4000000000000002E-2</v>
      </c>
      <c r="D20" s="19">
        <f>+'Produktionsdata input'!D20</f>
        <v>3.4000000000000002E-2</v>
      </c>
      <c r="E20" s="19">
        <f>+'Produktionsdata input'!E20</f>
        <v>3.4000000000000002E-2</v>
      </c>
      <c r="F20" s="122">
        <f>+'Produktionsdata input'!F20</f>
        <v>3.4000000000000002E-2</v>
      </c>
      <c r="G20" s="265"/>
      <c r="H20" s="19"/>
      <c r="I20" s="19"/>
      <c r="J20" s="35"/>
      <c r="K20" s="35"/>
      <c r="L20" s="179"/>
      <c r="M20" s="179"/>
      <c r="N20" s="179"/>
      <c r="O20" s="238"/>
      <c r="P20" s="318">
        <f>+'Produktionsdata input'!G20</f>
        <v>0.23599999999999999</v>
      </c>
      <c r="Q20" s="339">
        <f>+'Produktionsdata input'!H20</f>
        <v>3.5999999999999997E-2</v>
      </c>
      <c r="R20" s="82"/>
    </row>
    <row r="21" spans="1:18" x14ac:dyDescent="0.25">
      <c r="B21" s="193" t="str">
        <f>+'Produktionsdata input'!B21</f>
        <v>Energiforbrug, omregnet til El i KWh per gris</v>
      </c>
      <c r="C21" s="19">
        <f>+'Produktionsdata input'!C21</f>
        <v>14</v>
      </c>
      <c r="D21" s="19">
        <f>+'Produktionsdata input'!D21</f>
        <v>14</v>
      </c>
      <c r="E21" s="19">
        <f>+'Produktionsdata input'!E21</f>
        <v>14</v>
      </c>
      <c r="F21" s="122">
        <f>+'Produktionsdata input'!F21</f>
        <v>14</v>
      </c>
      <c r="G21" s="265"/>
      <c r="H21" s="19"/>
      <c r="I21" s="19"/>
      <c r="J21" s="35"/>
      <c r="K21" s="35"/>
      <c r="L21" s="179"/>
      <c r="M21" s="179"/>
      <c r="N21" s="179"/>
      <c r="O21" s="238"/>
      <c r="P21" s="30">
        <f>+'Produktionsdata input'!G21</f>
        <v>10</v>
      </c>
      <c r="Q21" s="63">
        <f>+'Produktionsdata input'!H21</f>
        <v>12</v>
      </c>
      <c r="R21" s="82"/>
    </row>
    <row r="22" spans="1:18" x14ac:dyDescent="0.25">
      <c r="B22" s="193" t="str">
        <f>+'Produktionsdata input'!B22</f>
        <v>Strøelse , kg per gris</v>
      </c>
      <c r="C22" s="131">
        <f>+'Produktionsdata input'!C22</f>
        <v>3</v>
      </c>
      <c r="D22" s="131">
        <f>+'Produktionsdata input'!D22</f>
        <v>3</v>
      </c>
      <c r="E22" s="131">
        <f>+'Produktionsdata input'!E22</f>
        <v>3</v>
      </c>
      <c r="F22" s="131">
        <f>+'Produktionsdata input'!F22</f>
        <v>3</v>
      </c>
      <c r="G22" s="265"/>
      <c r="H22" s="19"/>
      <c r="I22" s="19"/>
      <c r="J22" s="35"/>
      <c r="K22" s="35"/>
      <c r="L22" s="179"/>
      <c r="M22" s="179"/>
      <c r="N22" s="179"/>
      <c r="O22" s="238"/>
      <c r="P22" s="30">
        <f>+'Produktionsdata input'!G22</f>
        <v>6</v>
      </c>
      <c r="Q22" s="63">
        <f>+'Produktionsdata input'!H22</f>
        <v>1</v>
      </c>
      <c r="R22" s="82"/>
    </row>
    <row r="23" spans="1:18" x14ac:dyDescent="0.25">
      <c r="B23" s="193" t="str">
        <f>+'Produktionsdata input'!B23</f>
        <v>Miljøteknologi -der reducerer lattergas</v>
      </c>
      <c r="C23" s="19" t="str">
        <f>+'Produktionsdata input'!C23</f>
        <v>Ingen miljøteknologi</v>
      </c>
      <c r="D23" s="19" t="str">
        <f>+'Produktionsdata input'!D23</f>
        <v>Ingen miljøteknologi</v>
      </c>
      <c r="E23" s="19" t="str">
        <f>+'Produktionsdata input'!E23</f>
        <v>Ingen miljøteknologi</v>
      </c>
      <c r="F23" s="122" t="str">
        <f>+'Produktionsdata input'!F23</f>
        <v>Ingen miljøteknologi</v>
      </c>
      <c r="G23" s="265"/>
      <c r="H23" s="19"/>
      <c r="I23" s="19"/>
      <c r="J23" s="35"/>
      <c r="K23" s="35"/>
      <c r="L23" s="179"/>
      <c r="M23" s="179"/>
      <c r="N23" s="179"/>
      <c r="O23" s="238"/>
      <c r="P23" s="30" t="str">
        <f>+'Produktionsdata input'!G23</f>
        <v>Ingen miljøteknologi</v>
      </c>
      <c r="Q23" s="63" t="str">
        <f>+'Produktionsdata input'!H23</f>
        <v>Ingen miljøteknologi</v>
      </c>
      <c r="R23" s="82"/>
    </row>
    <row r="24" spans="1:18" x14ac:dyDescent="0.25">
      <c r="B24" s="193" t="str">
        <f>+'Produktionsdata input'!B24</f>
        <v>Hyppig gylleudslusning reducerer metan</v>
      </c>
      <c r="C24" s="19" t="str">
        <f>+'Produktionsdata input'!C24</f>
        <v>Ingen management</v>
      </c>
      <c r="D24" s="19" t="str">
        <f>+'Produktionsdata input'!D24</f>
        <v>Ingen management</v>
      </c>
      <c r="E24" s="19" t="str">
        <f>+'Produktionsdata input'!E24</f>
        <v>Ingen management</v>
      </c>
      <c r="F24" s="122" t="str">
        <f>+'Produktionsdata input'!F24</f>
        <v>Ingen management</v>
      </c>
      <c r="G24" s="265"/>
      <c r="H24" s="19"/>
      <c r="I24" s="19"/>
      <c r="J24" s="35"/>
      <c r="K24" s="35"/>
      <c r="L24" s="179"/>
      <c r="M24" s="179"/>
      <c r="N24" s="179"/>
      <c r="O24" s="238"/>
      <c r="P24" s="30" t="str">
        <f>+'Produktionsdata input'!G24</f>
        <v>Ingen management</v>
      </c>
      <c r="Q24" s="63" t="str">
        <f>+'Produktionsdata input'!H24</f>
        <v>Ingen management</v>
      </c>
      <c r="R24" s="82"/>
    </row>
    <row r="25" spans="1:18" ht="16.5" thickBot="1" x14ac:dyDescent="0.3">
      <c r="B25" s="194" t="str">
        <f>+'Produktionsdata input'!B25</f>
        <v>Biogas fortrængningseffekt</v>
      </c>
      <c r="C25" s="56" t="str">
        <f>+'Produktionsdata input'!C25</f>
        <v>Uden biogas fortrængning</v>
      </c>
      <c r="D25" s="56" t="str">
        <f>+'Produktionsdata input'!D25</f>
        <v>Uden biogas fortrængning</v>
      </c>
      <c r="E25" s="56" t="str">
        <f>+'Produktionsdata input'!E25</f>
        <v>Uden biogas fortrængning</v>
      </c>
      <c r="F25" s="263" t="str">
        <f>+'Produktionsdata input'!F25</f>
        <v>Uden biogas fortrængning</v>
      </c>
      <c r="G25" s="266"/>
      <c r="H25" s="56"/>
      <c r="I25" s="56"/>
      <c r="J25" s="200"/>
      <c r="K25" s="200"/>
      <c r="L25" s="216"/>
      <c r="M25" s="216"/>
      <c r="N25" s="216"/>
      <c r="O25" s="258"/>
      <c r="P25" s="36" t="str">
        <f>+'Produktionsdata input'!G25</f>
        <v>Uden biogas fortrængning</v>
      </c>
      <c r="Q25" s="201" t="str">
        <f>+'Produktionsdata input'!H25</f>
        <v>Uden biogas fortrængning</v>
      </c>
      <c r="R25" s="82"/>
    </row>
    <row r="26" spans="1:18" ht="32.25" thickBot="1" x14ac:dyDescent="0.3">
      <c r="B26" s="188" t="s">
        <v>38</v>
      </c>
      <c r="C26" s="271" t="s">
        <v>165</v>
      </c>
      <c r="D26" s="271" t="s">
        <v>165</v>
      </c>
      <c r="E26" s="271" t="s">
        <v>165</v>
      </c>
      <c r="F26" s="271" t="s">
        <v>165</v>
      </c>
      <c r="G26" s="272" t="s">
        <v>165</v>
      </c>
      <c r="H26" s="272" t="s">
        <v>165</v>
      </c>
      <c r="I26" s="281" t="s">
        <v>234</v>
      </c>
      <c r="J26" s="281" t="s">
        <v>166</v>
      </c>
      <c r="K26" s="281" t="s">
        <v>167</v>
      </c>
      <c r="L26" s="281" t="s">
        <v>168</v>
      </c>
      <c r="M26" s="281" t="s">
        <v>183</v>
      </c>
      <c r="N26" s="281" t="s">
        <v>183</v>
      </c>
      <c r="O26" s="282" t="s">
        <v>184</v>
      </c>
      <c r="P26" s="283" t="s">
        <v>169</v>
      </c>
      <c r="Q26" s="273" t="s">
        <v>170</v>
      </c>
    </row>
    <row r="27" spans="1:18" x14ac:dyDescent="0.25">
      <c r="B27" s="195" t="s">
        <v>239</v>
      </c>
      <c r="C27" s="196">
        <f>IF(C$12=0, 0, IF(C14=1,Værktøjskassen!F67*(1+C20),$Q$37*(1+C20)))</f>
        <v>99.987800000000007</v>
      </c>
      <c r="D27" s="196">
        <f>IF(D$12=0, 0, IF(D14=1,Værktøjskassen!F68*(1+D20),$Q$37*(1+D20)))</f>
        <v>99.987800000000007</v>
      </c>
      <c r="E27" s="196">
        <f>IF(E$12=0, 0, IF(E14=1,Værktøjskassen!F69*(1+E20),$Q$37*(1+E20)))</f>
        <v>99.987800000000007</v>
      </c>
      <c r="F27" s="196">
        <f>IF(F$12=0, 0, IF(F14=1,Værktøjskassen!F70*(1+F20),$Q$37*(1+F20)))</f>
        <v>99.987800000000007</v>
      </c>
      <c r="G27" s="267">
        <f>+SUMPRODUCT(C27:F27,$C$15:$F$15)/$G$15</f>
        <v>99.987800000000007</v>
      </c>
      <c r="H27" s="35">
        <v>100</v>
      </c>
      <c r="I27" s="35">
        <f>+G27-H27</f>
        <v>-1.2199999999992883E-2</v>
      </c>
      <c r="J27" s="35"/>
      <c r="K27" s="37">
        <f>+G27/$G$17</f>
        <v>1.136225</v>
      </c>
      <c r="L27" s="37">
        <f>+G27/$G$18</f>
        <v>0.86734732824427485</v>
      </c>
      <c r="M27" s="37">
        <f>+H27/$H$18</f>
        <v>0.86745315752949337</v>
      </c>
      <c r="N27" s="37">
        <f>+L27-M27</f>
        <v>-1.058292852185172E-4</v>
      </c>
      <c r="O27" s="292">
        <f>+G27/$G$37</f>
        <v>0.35373704737295059</v>
      </c>
      <c r="P27" s="206">
        <f>IF($P$12=0,0, +(P16-Værktøjskassen!D15)*Værktøjskassen!D16)</f>
        <v>0</v>
      </c>
      <c r="Q27" s="206">
        <f>IF($Q$12=0,0,+P37*(1+Q20))</f>
        <v>42.66925652157628</v>
      </c>
      <c r="R27" s="82"/>
    </row>
    <row r="28" spans="1:18" x14ac:dyDescent="0.25">
      <c r="B28" s="8" t="s">
        <v>81</v>
      </c>
      <c r="C28" s="128">
        <f>IF(C$12=0, 0, (C18-C16)*C19*'Produktionsdata input'!C72)</f>
        <v>118.87357443777913</v>
      </c>
      <c r="D28" s="128">
        <f>IF(D$12=0,0,(D18-D16)*D19*'Produktionsdata input'!D72)</f>
        <v>118.87357443777913</v>
      </c>
      <c r="E28" s="128">
        <f>IF(E$12=0,0,(E18-E16)*E19*'Produktionsdata input'!E72)</f>
        <v>118.87357443777913</v>
      </c>
      <c r="F28" s="128">
        <f>IF(F$12=0, 0, (F18-F16)*F19*'Produktionsdata input'!F72)</f>
        <v>118.87357443777913</v>
      </c>
      <c r="G28" s="30">
        <f t="shared" ref="G28:G36" si="0">+SUMPRODUCT(C28:F28,$C$15:$F$15)/$G$15</f>
        <v>118.87357443777913</v>
      </c>
      <c r="H28" s="35">
        <f>(H18-H16)*H19*('Foder-database'!D70+'Foder-database'!K70)/2</f>
        <v>118.87357443777913</v>
      </c>
      <c r="I28" s="37">
        <f t="shared" ref="I28:I36" si="1">+G28-H28</f>
        <v>0</v>
      </c>
      <c r="J28" s="37">
        <f>+G28/$J$19</f>
        <v>1.3939209010058529</v>
      </c>
      <c r="K28" s="37">
        <f>+G28/$G$17</f>
        <v>1.3508360731565809</v>
      </c>
      <c r="L28" s="37">
        <f>+G28/$G$18</f>
        <v>1.0311725749286877</v>
      </c>
      <c r="M28" s="37">
        <f t="shared" ref="M28:M36" si="2">+H28/$H$18</f>
        <v>1.0311725749286877</v>
      </c>
      <c r="N28" s="37">
        <f t="shared" ref="N28:N36" si="3">+L28-M28</f>
        <v>0</v>
      </c>
      <c r="O28" s="292">
        <f>+G28/$G$37</f>
        <v>0.42055117956679355</v>
      </c>
      <c r="P28" s="92">
        <f>IF($P$12=0,0, P19*'Produktionsdata input'!G72)+(P19-Værktøjskassen!D6)*Værktøjskassen!D7</f>
        <v>21.683874377325886</v>
      </c>
      <c r="Q28" s="92">
        <f>IF($Q$12=0,0, (Q18-Q16)*Q19*'Produktionsdata input'!H72)+(Q19-Værktøjskassen!E6)*Værktøjskassen!E7*10</f>
        <v>40.060130149525087</v>
      </c>
    </row>
    <row r="29" spans="1:18" x14ac:dyDescent="0.25">
      <c r="B29" s="8" t="s">
        <v>12</v>
      </c>
      <c r="C29" s="129">
        <f>IF(C$12=0, 0, Værktøjskassen!$C$13+(C21-Værktøjskassen!$C$11)*Værktøjskassen!$C$14)</f>
        <v>4.8</v>
      </c>
      <c r="D29" s="129">
        <f>IF(D$12=0,0,Værktøjskassen!$C$13+(D21-Værktøjskassen!$C$11)*Værktøjskassen!$C$14)</f>
        <v>4.8</v>
      </c>
      <c r="E29" s="129">
        <f>IF(E$12=0,0,Værktøjskassen!$C$13+(E21-Værktøjskassen!$C$11)*Værktøjskassen!$C$14)</f>
        <v>4.8</v>
      </c>
      <c r="F29" s="129">
        <f>IF(F$12=0, 0, Værktøjskassen!$C$13+(F21-Værktøjskassen!$C$11)*Værktøjskassen!$C$14)</f>
        <v>4.8</v>
      </c>
      <c r="G29" s="30">
        <f t="shared" si="0"/>
        <v>4.8</v>
      </c>
      <c r="H29" s="19">
        <f>+Værktøjskassen!C13</f>
        <v>4.8</v>
      </c>
      <c r="I29" s="37">
        <f t="shared" si="1"/>
        <v>0</v>
      </c>
      <c r="J29" s="37">
        <f>+G29/$J$19</f>
        <v>5.6285178236397747E-2</v>
      </c>
      <c r="K29" s="37">
        <f>+G29/$G$17</f>
        <v>5.4545454545454543E-2</v>
      </c>
      <c r="L29" s="37">
        <f>+G29/$G$18</f>
        <v>4.1637751561415678E-2</v>
      </c>
      <c r="M29" s="37">
        <f t="shared" si="2"/>
        <v>4.1637751561415678E-2</v>
      </c>
      <c r="N29" s="37">
        <f t="shared" si="3"/>
        <v>0</v>
      </c>
      <c r="O29" s="292">
        <f>+G29/$G$37</f>
        <v>1.6981450010802944E-2</v>
      </c>
      <c r="P29" s="126">
        <f>IF($P$12=0,0,Værktøjskassen!$D$13+(P21-Værktøjskassen!$D$11)*Værktøjskassen!$D$14)</f>
        <v>3.4</v>
      </c>
      <c r="Q29" s="126">
        <f>IF($Q$12=0,0,Værktøjskassen!$E$13+(Q21-Værktøjskassen!$E$11)*Værktøjskassen!$E$14)</f>
        <v>4.0999999999999996</v>
      </c>
    </row>
    <row r="30" spans="1:18" x14ac:dyDescent="0.25">
      <c r="B30" s="8" t="s">
        <v>40</v>
      </c>
      <c r="C30" s="128">
        <f>IF(C$12=0, 0, +Værktøjskassen!$C$19)</f>
        <v>10.6</v>
      </c>
      <c r="D30" s="128">
        <f>IF(D$12=0,0,+Værktøjskassen!$C$19)</f>
        <v>10.6</v>
      </c>
      <c r="E30" s="128">
        <f>IF(E$12=0, 0, IF(E$12=0,0,+Værktøjskassen!$C$19))</f>
        <v>10.6</v>
      </c>
      <c r="F30" s="128">
        <f>IF(F$12=0, 0, +Værktøjskassen!C19)</f>
        <v>10.6</v>
      </c>
      <c r="G30" s="30">
        <f t="shared" si="0"/>
        <v>10.6</v>
      </c>
      <c r="H30" s="35">
        <f>+Værktøjskassen!C19</f>
        <v>10.6</v>
      </c>
      <c r="I30" s="37">
        <f t="shared" si="1"/>
        <v>0</v>
      </c>
      <c r="J30" s="37">
        <f>+G30/$J$19</f>
        <v>0.12429643527204502</v>
      </c>
      <c r="K30" s="37">
        <f>+G30/$G$17</f>
        <v>0.12045454545454545</v>
      </c>
      <c r="L30" s="37">
        <f>+G30/$G$18</f>
        <v>9.1950034698126293E-2</v>
      </c>
      <c r="M30" s="37">
        <f t="shared" si="2"/>
        <v>9.1950034698126293E-2</v>
      </c>
      <c r="N30" s="37">
        <f t="shared" si="3"/>
        <v>0</v>
      </c>
      <c r="O30" s="292">
        <f>+G30/$G$37</f>
        <v>3.7500702107189837E-2</v>
      </c>
      <c r="P30" s="92">
        <f>IF($P$12=0,0,+Værktøjskassen!D19)</f>
        <v>2.1</v>
      </c>
      <c r="Q30" s="92">
        <f>IF($Q$12=0,0,+Værktøjskassen!E19)</f>
        <v>1.9</v>
      </c>
    </row>
    <row r="31" spans="1:18" x14ac:dyDescent="0.25">
      <c r="A31" s="82"/>
      <c r="B31" s="8" t="s">
        <v>146</v>
      </c>
      <c r="C31" s="128"/>
      <c r="D31" s="128"/>
      <c r="E31" s="128"/>
      <c r="F31" s="128"/>
      <c r="G31" s="30"/>
      <c r="H31" s="35"/>
      <c r="I31" s="37">
        <f t="shared" si="1"/>
        <v>0</v>
      </c>
      <c r="J31" s="37"/>
      <c r="K31" s="37"/>
      <c r="L31" s="37"/>
      <c r="M31" s="37">
        <f t="shared" si="2"/>
        <v>0</v>
      </c>
      <c r="N31" s="37"/>
      <c r="O31" s="292"/>
      <c r="P31" s="92">
        <f>IF($P$12=0,0, P20*2.26/P17*Værktøjskassen!D17)</f>
        <v>2.2026666666666666</v>
      </c>
      <c r="Q31" s="92"/>
    </row>
    <row r="32" spans="1:18" x14ac:dyDescent="0.25">
      <c r="A32" s="33"/>
      <c r="B32" s="8" t="s">
        <v>263</v>
      </c>
      <c r="C32" s="128">
        <f>IF(C$12=0, 0,+Værktøjskassen!$C$20)+(C19-Værktøjskassen!$C$6)*Værktøjskassen!$C$7*10</f>
        <v>47.4</v>
      </c>
      <c r="D32" s="128">
        <f>IF(D$12=0, 0,+Værktøjskassen!$C$20)+(D19-Værktøjskassen!$C$6)*Værktøjskassen!$C$7*10</f>
        <v>47.4</v>
      </c>
      <c r="E32" s="128">
        <f>IF(E$12=0, 0,+Værktøjskassen!$C$20)+(E19-Værktøjskassen!$C$6)*Værktøjskassen!$C$7*10</f>
        <v>47.4</v>
      </c>
      <c r="F32" s="128">
        <f>IF(F$12=0, 0,+Værktøjskassen!$C$20)+(F19-Værktøjskassen!$C$6)*Værktøjskassen!$C$7*10</f>
        <v>47.4</v>
      </c>
      <c r="G32" s="30">
        <f t="shared" si="0"/>
        <v>47.4</v>
      </c>
      <c r="H32" s="35">
        <f>+Værktøjskassen!C20</f>
        <v>47.4</v>
      </c>
      <c r="I32" s="37">
        <f t="shared" si="1"/>
        <v>0</v>
      </c>
      <c r="J32" s="37">
        <f t="shared" ref="J32:J36" si="4">+G32/$J$19</f>
        <v>0.55581613508442773</v>
      </c>
      <c r="K32" s="37">
        <f t="shared" ref="K32:K36" si="5">+G32/$G$17</f>
        <v>0.53863636363636358</v>
      </c>
      <c r="L32" s="37">
        <f t="shared" ref="L32:L36" si="6">+G32/$G$18</f>
        <v>0.41117279666897988</v>
      </c>
      <c r="M32" s="37">
        <f t="shared" si="2"/>
        <v>0.41117279666897988</v>
      </c>
      <c r="N32" s="37">
        <f t="shared" si="3"/>
        <v>0</v>
      </c>
      <c r="O32" s="292">
        <f>+G32/$G$37</f>
        <v>0.16769181885667908</v>
      </c>
      <c r="P32" s="92">
        <f>IF($P$12=0,0,+Værktøjskassen!D20)</f>
        <v>10.8</v>
      </c>
      <c r="Q32" s="92">
        <f>IF($Q$12=0,0,+Værktøjskassen!E20)</f>
        <v>8.1</v>
      </c>
      <c r="R32" s="33"/>
    </row>
    <row r="33" spans="1:17" x14ac:dyDescent="0.25">
      <c r="B33" s="8" t="s">
        <v>48</v>
      </c>
      <c r="C33" s="128">
        <f>IF(C$12=0, 0, Værktøjskassen!$C$21+(C22-3)*Værktøjskassen!$C$22)</f>
        <v>1</v>
      </c>
      <c r="D33" s="128">
        <f>IF(D$12=0,0,Værktøjskassen!$C$21+(D22-3)*Værktøjskassen!$C$22)</f>
        <v>1</v>
      </c>
      <c r="E33" s="128">
        <f>IF(E$12=0,0,Værktøjskassen!$C$21+(E22-3)*Værktøjskassen!$C$22)</f>
        <v>1</v>
      </c>
      <c r="F33" s="128">
        <f>IF(F$12=0, 0, Værktøjskassen!$C$21+(F22-3)*Værktøjskassen!$C$22)</f>
        <v>1</v>
      </c>
      <c r="G33" s="30">
        <f t="shared" si="0"/>
        <v>1</v>
      </c>
      <c r="H33" s="35">
        <v>1</v>
      </c>
      <c r="I33" s="37">
        <f t="shared" si="1"/>
        <v>0</v>
      </c>
      <c r="J33" s="37">
        <f t="shared" si="4"/>
        <v>1.172607879924953E-2</v>
      </c>
      <c r="K33" s="37">
        <f t="shared" si="5"/>
        <v>1.1363636363636364E-2</v>
      </c>
      <c r="L33" s="37">
        <f t="shared" si="6"/>
        <v>8.6745315752949342E-3</v>
      </c>
      <c r="M33" s="37">
        <f t="shared" si="2"/>
        <v>8.6745315752949342E-3</v>
      </c>
      <c r="N33" s="37">
        <f t="shared" si="3"/>
        <v>0</v>
      </c>
      <c r="O33" s="292">
        <f>+G33/$G$37</f>
        <v>3.5378020855839467E-3</v>
      </c>
      <c r="P33" s="92">
        <f>IF($P$12=0,0,Værktøjskassen!$D$21+(P22-6)*Værktøjskassen!$D22)</f>
        <v>1</v>
      </c>
      <c r="Q33" s="92">
        <f>+IF($Q$12=0,0,Værktøjskassen!$E$21+(Q22-0)*Værktøjskassen!$E22)</f>
        <v>5.6000000000000001E-2</v>
      </c>
    </row>
    <row r="34" spans="1:17" x14ac:dyDescent="0.25">
      <c r="B34" s="8" t="s">
        <v>1</v>
      </c>
      <c r="C34" s="129">
        <f>IF(C$12=0, 0, VLOOKUP(C23,Værktøjskassen!$B$24:E29,2,FALSE))</f>
        <v>0</v>
      </c>
      <c r="D34" s="129">
        <f>IF(D$12=0, 0, VLOOKUP(D23,Værktøjskassen!$B$24:G29,2,FALSE))</f>
        <v>0</v>
      </c>
      <c r="E34" s="129">
        <f>IF(E$12=0, 0, VLOOKUP(E23,Værktøjskassen!$B$24:H29,2,FALSE))</f>
        <v>0</v>
      </c>
      <c r="F34" s="129">
        <f>IF(F$12=0, 0, VLOOKUP(F23,Værktøjskassen!$B$24:I29,2,FALSE))</f>
        <v>0</v>
      </c>
      <c r="G34" s="30">
        <f t="shared" si="0"/>
        <v>0</v>
      </c>
      <c r="H34" s="35">
        <v>0</v>
      </c>
      <c r="I34" s="37">
        <f t="shared" si="1"/>
        <v>0</v>
      </c>
      <c r="J34" s="37">
        <f t="shared" si="4"/>
        <v>0</v>
      </c>
      <c r="K34" s="37">
        <f t="shared" si="5"/>
        <v>0</v>
      </c>
      <c r="L34" s="37">
        <f t="shared" si="6"/>
        <v>0</v>
      </c>
      <c r="M34" s="37">
        <f t="shared" si="2"/>
        <v>0</v>
      </c>
      <c r="N34" s="37">
        <f t="shared" si="3"/>
        <v>0</v>
      </c>
      <c r="O34" s="292">
        <f>+G34/$G$37</f>
        <v>0</v>
      </c>
      <c r="P34" s="126">
        <f>IF($P$12=0,0, VLOOKUP(P23,Værktøjskassen!$B$24:K29,4,FALSE))</f>
        <v>0</v>
      </c>
      <c r="Q34" s="126">
        <f>IF($Q$12=0,0, VLOOKUP(Q23,Værktøjskassen!$B$24:L29,3,FALSE))</f>
        <v>0</v>
      </c>
    </row>
    <row r="35" spans="1:17" x14ac:dyDescent="0.25">
      <c r="B35" s="8" t="s">
        <v>267</v>
      </c>
      <c r="C35" s="129">
        <f>IF(C$12=0, 0, VLOOKUP(C24,Værktøjskassen!$B$31:$E$34,2,FALSE))</f>
        <v>0</v>
      </c>
      <c r="D35" s="129">
        <f>IF(D$12=0, 0, VLOOKUP(D24,Værktøjskassen!$B$31:$E$34,2,FALSE))</f>
        <v>0</v>
      </c>
      <c r="E35" s="129">
        <f>IF(E$12=0, 0, VLOOKUP(E24,Værktøjskassen!$B$31:$E$34,2,FALSE))</f>
        <v>0</v>
      </c>
      <c r="F35" s="129">
        <f>IF(F$12=0, 0, VLOOKUP(F24,Værktøjskassen!$B$31:$E$34,2,FALSE))</f>
        <v>0</v>
      </c>
      <c r="G35" s="30">
        <f t="shared" si="0"/>
        <v>0</v>
      </c>
      <c r="H35" s="35">
        <v>0</v>
      </c>
      <c r="I35" s="37">
        <f t="shared" si="1"/>
        <v>0</v>
      </c>
      <c r="J35" s="37">
        <f t="shared" si="4"/>
        <v>0</v>
      </c>
      <c r="K35" s="37">
        <f t="shared" si="5"/>
        <v>0</v>
      </c>
      <c r="L35" s="37">
        <f t="shared" si="6"/>
        <v>0</v>
      </c>
      <c r="M35" s="37">
        <f t="shared" si="2"/>
        <v>0</v>
      </c>
      <c r="N35" s="37">
        <f t="shared" si="3"/>
        <v>0</v>
      </c>
      <c r="O35" s="292">
        <f>+G35/$G$37</f>
        <v>0</v>
      </c>
      <c r="P35" s="127">
        <f>IF($P$12=0,0, VLOOKUP(P24,Værktøjskassen!$B$31:$E$34,4,FALSE))</f>
        <v>0</v>
      </c>
      <c r="Q35" s="127">
        <f>IF($Q$12=0,0, VLOOKUP(Q24,Værktøjskassen!$B$31:$E$34,3,FALSE))</f>
        <v>0</v>
      </c>
    </row>
    <row r="36" spans="1:17" ht="16.5" thickBot="1" x14ac:dyDescent="0.3">
      <c r="B36" s="9" t="s">
        <v>159</v>
      </c>
      <c r="C36" s="129">
        <f>IF(C$12=0, 0, VLOOKUP(C25,Værktøjskassen!$B$36:$E$38,2,FALSE))</f>
        <v>0</v>
      </c>
      <c r="D36" s="129">
        <f>IF(D$12=0, 0, VLOOKUP(D25,Værktøjskassen!$B$36:$E$38,2,FALSE))</f>
        <v>0</v>
      </c>
      <c r="E36" s="129">
        <f>IF(E$12=0, 0, VLOOKUP(E25,Værktøjskassen!$B$36:$E$38,2,FALSE))</f>
        <v>0</v>
      </c>
      <c r="F36" s="129">
        <f>IF(F$12=0, 0, VLOOKUP(F25,Værktøjskassen!$B$36:$E$38,2,FALSE))</f>
        <v>0</v>
      </c>
      <c r="G36" s="30">
        <f t="shared" si="0"/>
        <v>0</v>
      </c>
      <c r="H36" s="35">
        <v>0</v>
      </c>
      <c r="I36" s="37">
        <f t="shared" si="1"/>
        <v>0</v>
      </c>
      <c r="J36" s="37">
        <f t="shared" si="4"/>
        <v>0</v>
      </c>
      <c r="K36" s="37">
        <f t="shared" si="5"/>
        <v>0</v>
      </c>
      <c r="L36" s="37">
        <f t="shared" si="6"/>
        <v>0</v>
      </c>
      <c r="M36" s="37">
        <f t="shared" si="2"/>
        <v>0</v>
      </c>
      <c r="N36" s="37">
        <f t="shared" si="3"/>
        <v>0</v>
      </c>
      <c r="O36" s="292">
        <f>+G36/$G$37</f>
        <v>0</v>
      </c>
      <c r="P36" s="127">
        <f>IF($P$12=0,0, VLOOKUP(P25,Værktøjskassen!$B$36:$E$38,3,FALSE))</f>
        <v>0</v>
      </c>
      <c r="Q36" s="127">
        <f>IF($Q$12=0,0, VLOOKUP(Q25,Værktøjskassen!$B$36:$E$38,4,FALSE))</f>
        <v>0</v>
      </c>
    </row>
    <row r="37" spans="1:17" x14ac:dyDescent="0.25">
      <c r="B37" s="198" t="s">
        <v>163</v>
      </c>
      <c r="C37" s="199">
        <f>SUM(C27:C36)</f>
        <v>282.66137443777916</v>
      </c>
      <c r="D37" s="199">
        <f>SUM(D27:D36)</f>
        <v>282.66137443777916</v>
      </c>
      <c r="E37" s="199">
        <f>SUM(E27:E36)</f>
        <v>282.66137443777916</v>
      </c>
      <c r="F37" s="269">
        <f>SUM(F27:F36)</f>
        <v>282.66137443777916</v>
      </c>
      <c r="G37" s="207">
        <f>SUM(G27:G36)</f>
        <v>282.66137443777916</v>
      </c>
      <c r="H37" s="199">
        <f>SUM(H27:H36)</f>
        <v>282.67357443777911</v>
      </c>
      <c r="I37" s="73">
        <f>SUM(I27:I36)</f>
        <v>-1.2199999999992883E-2</v>
      </c>
      <c r="J37" s="73">
        <f>SUM(J27:J36)</f>
        <v>2.1420447283979729</v>
      </c>
      <c r="K37" s="73">
        <f>SUM(K27:K36)</f>
        <v>3.2120610731565811</v>
      </c>
      <c r="L37" s="73">
        <f>SUM(L27:L36)</f>
        <v>2.451955017676779</v>
      </c>
      <c r="M37" s="73">
        <f>SUM(M27:M36)</f>
        <v>2.4520608469619978</v>
      </c>
      <c r="N37" s="73">
        <f>SUM(N27:N36)</f>
        <v>-1.058292852185172E-4</v>
      </c>
      <c r="O37" s="217">
        <f>SUM(O27:O36)</f>
        <v>1</v>
      </c>
      <c r="P37" s="267">
        <f>SUM(P27:P36)</f>
        <v>41.186541043992548</v>
      </c>
      <c r="Q37" s="267">
        <f>SUM(Q27:Q36)</f>
        <v>96.885386671101358</v>
      </c>
    </row>
    <row r="38" spans="1:17" ht="16.5" thickBot="1" x14ac:dyDescent="0.3">
      <c r="A38" s="2"/>
      <c r="B38" s="197" t="s">
        <v>164</v>
      </c>
      <c r="C38" s="200">
        <f>SUM(C28:C36)</f>
        <v>182.67357443777914</v>
      </c>
      <c r="D38" s="200">
        <f>SUM(D28:D36)</f>
        <v>182.67357443777914</v>
      </c>
      <c r="E38" s="200">
        <f>SUM(E28:E36)</f>
        <v>182.67357443777914</v>
      </c>
      <c r="F38" s="200">
        <f>SUM(F28:F36)</f>
        <v>182.67357443777914</v>
      </c>
      <c r="G38" s="36">
        <f>SUM(G28:G36)</f>
        <v>182.67357443777914</v>
      </c>
      <c r="H38" s="200">
        <f>SUM(H28:H36)</f>
        <v>182.67357443777914</v>
      </c>
      <c r="I38" s="98">
        <f>SUM(I28:I36)</f>
        <v>0</v>
      </c>
      <c r="J38" s="98">
        <f>SUM(J28:J36)</f>
        <v>2.1420447283979729</v>
      </c>
      <c r="K38" s="98">
        <f>SUM(K28:K36)</f>
        <v>2.0758360731565806</v>
      </c>
      <c r="L38" s="98">
        <f>SUM(L28:L36)</f>
        <v>1.5846076894325045</v>
      </c>
      <c r="M38" s="98">
        <f>SUM(M28:M36)</f>
        <v>1.5846076894325045</v>
      </c>
      <c r="N38" s="98">
        <f>SUM(N28:N36)</f>
        <v>0</v>
      </c>
      <c r="O38" s="64"/>
      <c r="P38" s="108"/>
      <c r="Q38" s="108"/>
    </row>
    <row r="39" spans="1:17" ht="16.5" thickBot="1" x14ac:dyDescent="0.3">
      <c r="A39" s="2"/>
      <c r="B39" s="202" t="s">
        <v>113</v>
      </c>
      <c r="C39" s="203">
        <f>IF(C37=0,0,C37/C18)</f>
        <v>2.4519550176767795</v>
      </c>
      <c r="D39" s="203">
        <f>IF(D37=0,0,D37/D18)</f>
        <v>2.4519550176767795</v>
      </c>
      <c r="E39" s="203">
        <f>IF(E37=0,0,E37/E18)</f>
        <v>2.4519550176767795</v>
      </c>
      <c r="F39" s="270">
        <f>IF(F37=0,0,F37/F18)</f>
        <v>2.4519550176767795</v>
      </c>
      <c r="G39" s="268">
        <f>IF(G37=0,0,G37/G18)</f>
        <v>2.4519550176767795</v>
      </c>
      <c r="H39" s="203">
        <f>IF(H37=0,0,H37/H18)</f>
        <v>2.4520608469619978</v>
      </c>
      <c r="I39" s="203">
        <f>IF(I37=0,0,I37/H18)</f>
        <v>-1.0582928521853646E-4</v>
      </c>
      <c r="J39" s="51"/>
      <c r="K39" s="51"/>
      <c r="L39" s="51"/>
      <c r="M39" s="51"/>
      <c r="N39" s="51"/>
      <c r="O39" s="52"/>
      <c r="P39" s="108"/>
      <c r="Q39" s="108"/>
    </row>
    <row r="40" spans="1:17" x14ac:dyDescent="0.25">
      <c r="A40" s="2"/>
      <c r="B40" s="189" t="s">
        <v>161</v>
      </c>
      <c r="C40" s="37">
        <f>+'Foder-database'!F48</f>
        <v>0.52600788717201996</v>
      </c>
      <c r="D40" s="37">
        <f>+'Foder-database'!M48</f>
        <v>0.52600788717201996</v>
      </c>
      <c r="E40" s="37">
        <f>+'Foder-database'!T48</f>
        <v>0.52600788717201996</v>
      </c>
      <c r="F40" s="37">
        <f>+'Foder-database'!AA48</f>
        <v>0.52600788717201996</v>
      </c>
      <c r="G40" s="37">
        <f>SUMPRODUCT(C40:F40,$C$15:$F$15,$C$12:$F$12)/$G$15</f>
        <v>0.52600788717201996</v>
      </c>
      <c r="H40" s="37">
        <f>+('Foder-database'!D70+'Foder-database'!K70)/2</f>
        <v>0.52600788717201996</v>
      </c>
      <c r="I40" s="208">
        <f t="shared" ref="I40" si="7">+G40-H40</f>
        <v>0</v>
      </c>
      <c r="J40" s="2"/>
      <c r="K40" s="2"/>
      <c r="L40" s="2"/>
      <c r="M40" s="2"/>
      <c r="N40" s="2"/>
      <c r="O40" s="2"/>
      <c r="P40" s="2"/>
      <c r="Q40" s="2"/>
    </row>
    <row r="41" spans="1:17" x14ac:dyDescent="0.25">
      <c r="A41" s="2"/>
      <c r="B41" s="84"/>
      <c r="C41" s="84"/>
      <c r="D41" s="7"/>
      <c r="E41" s="7"/>
      <c r="F41" s="7"/>
      <c r="G41" s="7"/>
      <c r="H41" s="2"/>
      <c r="I41" s="2"/>
      <c r="J41" s="2"/>
      <c r="K41" s="2"/>
      <c r="L41" s="2"/>
      <c r="M41" s="2"/>
      <c r="N41" s="2"/>
      <c r="O41" s="2"/>
      <c r="P41" s="2"/>
      <c r="Q41" s="2"/>
    </row>
    <row r="42" spans="1:17" x14ac:dyDescent="0.25">
      <c r="A42" s="2"/>
      <c r="B42" s="2"/>
      <c r="C42" s="84"/>
      <c r="D42" s="2"/>
      <c r="E42" s="2"/>
      <c r="F42" s="2"/>
      <c r="G42" s="2"/>
    </row>
    <row r="43" spans="1:17" x14ac:dyDescent="0.25">
      <c r="P43" s="46"/>
    </row>
    <row r="44" spans="1:17" x14ac:dyDescent="0.25">
      <c r="C44" s="33"/>
      <c r="F44" s="2"/>
      <c r="G44" s="35"/>
      <c r="P44" s="46"/>
    </row>
    <row r="45" spans="1:17" x14ac:dyDescent="0.25">
      <c r="C45" s="11"/>
      <c r="D45" s="11"/>
      <c r="F45" s="2"/>
      <c r="G45" s="2"/>
      <c r="P45" s="46"/>
    </row>
    <row r="46" spans="1:17" x14ac:dyDescent="0.25">
      <c r="P46" s="46"/>
    </row>
    <row r="47" spans="1:17" x14ac:dyDescent="0.25">
      <c r="C47" s="33"/>
      <c r="P47" s="46"/>
    </row>
    <row r="48" spans="1:17" x14ac:dyDescent="0.25">
      <c r="I48" s="33"/>
      <c r="P48" s="46"/>
    </row>
    <row r="49" spans="9:16" x14ac:dyDescent="0.25">
      <c r="I49" s="33"/>
      <c r="P49" s="46"/>
    </row>
    <row r="50" spans="9:16" x14ac:dyDescent="0.25">
      <c r="K50" s="33"/>
      <c r="P50" s="46"/>
    </row>
    <row r="51" spans="9:16" x14ac:dyDescent="0.25">
      <c r="P51" s="46"/>
    </row>
    <row r="52" spans="9:16" x14ac:dyDescent="0.25">
      <c r="P52" s="46"/>
    </row>
    <row r="53" spans="9:16" x14ac:dyDescent="0.25">
      <c r="P53" s="46"/>
    </row>
    <row r="54" spans="9:16" x14ac:dyDescent="0.25">
      <c r="P54" s="46"/>
    </row>
    <row r="55" spans="9:16" x14ac:dyDescent="0.25">
      <c r="P55" s="46"/>
    </row>
    <row r="56" spans="9:16" x14ac:dyDescent="0.25">
      <c r="P56" s="46"/>
    </row>
  </sheetData>
  <dataConsolidate/>
  <mergeCells count="4">
    <mergeCell ref="G7:G8"/>
    <mergeCell ref="P10:Q10"/>
    <mergeCell ref="H10:O10"/>
    <mergeCell ref="C10:G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C810A-994A-48C8-90E6-DA545067D0CC}">
  <sheetPr>
    <tabColor theme="5"/>
  </sheetPr>
  <dimension ref="A1:AQ93"/>
  <sheetViews>
    <sheetView topLeftCell="A58" zoomScale="80" zoomScaleNormal="80" workbookViewId="0">
      <selection activeCell="D70" sqref="D70"/>
    </sheetView>
  </sheetViews>
  <sheetFormatPr defaultRowHeight="15.75" x14ac:dyDescent="0.25"/>
  <cols>
    <col min="1" max="1" width="24.625" customWidth="1"/>
    <col min="2" max="2" width="10.875" customWidth="1"/>
    <col min="3" max="3" width="11.75" customWidth="1"/>
    <col min="4" max="4" width="13" customWidth="1"/>
    <col min="5" max="5" width="12.5" customWidth="1"/>
    <col min="6" max="6" width="10.625" customWidth="1"/>
    <col min="7" max="7" width="2.625" style="34" customWidth="1"/>
    <col min="8" max="8" width="24.5" customWidth="1"/>
    <col min="9" max="9" width="10.375" customWidth="1"/>
    <col min="10" max="10" width="11.375" customWidth="1"/>
    <col min="12" max="12" width="10.25" customWidth="1"/>
    <col min="13" max="13" width="12.5" customWidth="1"/>
    <col min="14" max="14" width="2.625" style="34" customWidth="1"/>
    <col min="15" max="15" width="17.375" customWidth="1"/>
    <col min="16" max="17" width="10.625" customWidth="1"/>
    <col min="19" max="19" width="9.625" customWidth="1"/>
    <col min="20" max="20" width="14.625" customWidth="1"/>
    <col min="21" max="21" width="2.875" style="69" customWidth="1"/>
    <col min="22" max="22" width="21.5" customWidth="1"/>
    <col min="23" max="23" width="11.125" customWidth="1"/>
    <col min="24" max="24" width="11.5" customWidth="1"/>
    <col min="27" max="27" width="11.625" bestFit="1" customWidth="1"/>
    <col min="28" max="28" width="4.125" style="69" customWidth="1"/>
    <col min="29" max="29" width="26.5" customWidth="1"/>
    <col min="30" max="30" width="11" customWidth="1"/>
    <col min="31" max="31" width="12.625" customWidth="1"/>
    <col min="35" max="35" width="3.5" style="69" customWidth="1"/>
    <col min="36" max="36" width="17.375" customWidth="1"/>
    <col min="37" max="37" width="10.5" customWidth="1"/>
    <col min="38" max="38" width="12.5" customWidth="1"/>
    <col min="40" max="40" width="10" customWidth="1"/>
  </cols>
  <sheetData>
    <row r="1" spans="1:41" x14ac:dyDescent="0.25">
      <c r="C1" s="33"/>
      <c r="E1" s="82"/>
      <c r="AE1" s="33"/>
      <c r="AG1" s="33"/>
      <c r="AL1" s="33"/>
      <c r="AN1" s="33"/>
    </row>
    <row r="2" spans="1:41" x14ac:dyDescent="0.25">
      <c r="A2" t="s">
        <v>125</v>
      </c>
      <c r="H2" t="s">
        <v>126</v>
      </c>
      <c r="O2" t="s">
        <v>127</v>
      </c>
      <c r="V2" t="s">
        <v>128</v>
      </c>
      <c r="AC2" t="s">
        <v>129</v>
      </c>
      <c r="AJ2" t="s">
        <v>130</v>
      </c>
    </row>
    <row r="4" spans="1:41" ht="16.5" thickBot="1" x14ac:dyDescent="0.3">
      <c r="A4" t="s">
        <v>185</v>
      </c>
      <c r="B4" t="s">
        <v>63</v>
      </c>
      <c r="H4" t="s">
        <v>185</v>
      </c>
      <c r="I4" t="s">
        <v>63</v>
      </c>
      <c r="O4" t="s">
        <v>185</v>
      </c>
      <c r="P4" t="s">
        <v>63</v>
      </c>
      <c r="V4" t="s">
        <v>185</v>
      </c>
      <c r="W4" t="s">
        <v>63</v>
      </c>
      <c r="AC4" t="s">
        <v>185</v>
      </c>
      <c r="AD4" t="s">
        <v>63</v>
      </c>
      <c r="AJ4" t="s">
        <v>185</v>
      </c>
      <c r="AK4" t="s">
        <v>63</v>
      </c>
    </row>
    <row r="5" spans="1:41" ht="47.25" customHeight="1" thickBot="1" x14ac:dyDescent="0.3">
      <c r="A5" s="103" t="s">
        <v>9</v>
      </c>
      <c r="B5" s="111" t="s">
        <v>2</v>
      </c>
      <c r="C5" s="112" t="s">
        <v>186</v>
      </c>
      <c r="D5" s="112" t="s">
        <v>187</v>
      </c>
      <c r="E5" s="113" t="s">
        <v>17</v>
      </c>
      <c r="F5" s="114" t="s">
        <v>18</v>
      </c>
      <c r="H5" s="103" t="s">
        <v>9</v>
      </c>
      <c r="I5" s="111" t="s">
        <v>2</v>
      </c>
      <c r="J5" s="112" t="s">
        <v>188</v>
      </c>
      <c r="K5" s="112" t="s">
        <v>187</v>
      </c>
      <c r="L5" s="113" t="s">
        <v>17</v>
      </c>
      <c r="M5" s="114" t="s">
        <v>18</v>
      </c>
      <c r="O5" s="103" t="s">
        <v>9</v>
      </c>
      <c r="P5" s="111" t="s">
        <v>2</v>
      </c>
      <c r="Q5" s="112" t="s">
        <v>188</v>
      </c>
      <c r="R5" s="112" t="s">
        <v>187</v>
      </c>
      <c r="S5" s="113" t="s">
        <v>17</v>
      </c>
      <c r="T5" s="114" t="s">
        <v>18</v>
      </c>
      <c r="V5" s="103" t="s">
        <v>9</v>
      </c>
      <c r="W5" s="111" t="s">
        <v>2</v>
      </c>
      <c r="X5" s="112" t="s">
        <v>188</v>
      </c>
      <c r="Y5" s="112" t="s">
        <v>187</v>
      </c>
      <c r="Z5" s="113" t="s">
        <v>17</v>
      </c>
      <c r="AA5" s="114" t="s">
        <v>18</v>
      </c>
      <c r="AC5" s="103" t="s">
        <v>9</v>
      </c>
      <c r="AD5" s="111" t="s">
        <v>2</v>
      </c>
      <c r="AE5" s="112" t="s">
        <v>188</v>
      </c>
      <c r="AF5" s="112" t="s">
        <v>187</v>
      </c>
      <c r="AG5" s="113" t="s">
        <v>17</v>
      </c>
      <c r="AH5" s="114" t="s">
        <v>18</v>
      </c>
      <c r="AJ5" s="103" t="s">
        <v>9</v>
      </c>
      <c r="AK5" s="111" t="s">
        <v>2</v>
      </c>
      <c r="AL5" s="112" t="s">
        <v>188</v>
      </c>
      <c r="AM5" s="112" t="s">
        <v>187</v>
      </c>
      <c r="AN5" s="113" t="s">
        <v>17</v>
      </c>
      <c r="AO5" s="114" t="s">
        <v>18</v>
      </c>
    </row>
    <row r="6" spans="1:41" x14ac:dyDescent="0.25">
      <c r="A6" s="94" t="str">
        <f>+'Produktionsdata input'!B31</f>
        <v>HVEDE</v>
      </c>
      <c r="B6" s="96">
        <f>+'Produktionsdata input'!C31</f>
        <v>0</v>
      </c>
      <c r="C6" s="109">
        <v>0.39400000000000002</v>
      </c>
      <c r="D6" s="73">
        <f>+B6*C6</f>
        <v>0</v>
      </c>
      <c r="E6" s="99">
        <v>1.18</v>
      </c>
      <c r="F6" s="20">
        <f t="shared" ref="F6:F21" si="0">+B6*E6</f>
        <v>0</v>
      </c>
      <c r="H6" s="94" t="str">
        <f t="shared" ref="H6" si="1">+A6</f>
        <v>HVEDE</v>
      </c>
      <c r="I6" s="96">
        <f>+'Produktionsdata input'!D31</f>
        <v>0</v>
      </c>
      <c r="J6" s="109">
        <f t="shared" ref="J6:J21" si="2">+C6</f>
        <v>0.39400000000000002</v>
      </c>
      <c r="K6" s="73">
        <f>+I6*J6</f>
        <v>0</v>
      </c>
      <c r="L6" s="99">
        <f>E6</f>
        <v>1.18</v>
      </c>
      <c r="M6" s="20">
        <f t="shared" ref="M6:M21" si="3">+I6*L6</f>
        <v>0</v>
      </c>
      <c r="O6" s="94" t="str">
        <f t="shared" ref="O6:O21" si="4">+A6</f>
        <v>HVEDE</v>
      </c>
      <c r="P6" s="96">
        <f>+'Produktionsdata input'!E31</f>
        <v>0</v>
      </c>
      <c r="Q6" s="109">
        <f t="shared" ref="Q6:Q21" si="5">+C6</f>
        <v>0.39400000000000002</v>
      </c>
      <c r="R6" s="73">
        <f>+P6*Q6</f>
        <v>0</v>
      </c>
      <c r="S6" s="99">
        <f t="shared" ref="S6:S21" si="6">+E6</f>
        <v>1.18</v>
      </c>
      <c r="T6" s="20">
        <f t="shared" ref="T6:T13" si="7">+P6*S6</f>
        <v>0</v>
      </c>
      <c r="V6" s="94" t="str">
        <f t="shared" ref="V6" si="8">+A6</f>
        <v>HVEDE</v>
      </c>
      <c r="W6" s="96">
        <f>+'Produktionsdata input'!F31</f>
        <v>0</v>
      </c>
      <c r="X6" s="109">
        <f>+C6</f>
        <v>0.39400000000000002</v>
      </c>
      <c r="Y6" s="73">
        <f>+W6*X6</f>
        <v>0</v>
      </c>
      <c r="Z6" s="99">
        <f t="shared" ref="Z6:Z21" si="9">+E6</f>
        <v>1.18</v>
      </c>
      <c r="AA6" s="20">
        <f t="shared" ref="AA6:AA16" si="10">+W6*Z6</f>
        <v>0</v>
      </c>
      <c r="AC6" s="94" t="str">
        <f t="shared" ref="AC6:AC21" si="11">+A6</f>
        <v>HVEDE</v>
      </c>
      <c r="AD6" s="96">
        <f>+'Produktionsdata input'!G31</f>
        <v>0</v>
      </c>
      <c r="AE6" s="109">
        <f t="shared" ref="AE6:AE21" si="12">+C6</f>
        <v>0.39400000000000002</v>
      </c>
      <c r="AF6" s="73">
        <f>+AD6*AE6</f>
        <v>0</v>
      </c>
      <c r="AG6" s="99">
        <f t="shared" ref="AG6:AG21" si="13">+E6</f>
        <v>1.18</v>
      </c>
      <c r="AH6" s="20">
        <f t="shared" ref="AH6:AH16" si="14">+AD6*AG6</f>
        <v>0</v>
      </c>
      <c r="AJ6" s="94" t="str">
        <f t="shared" ref="AJ6:AJ21" si="15">+A6</f>
        <v>HVEDE</v>
      </c>
      <c r="AK6" s="96">
        <f>+'Produktionsdata input'!H31</f>
        <v>0</v>
      </c>
      <c r="AL6" s="109">
        <f t="shared" ref="AL6:AL21" si="16">+C6</f>
        <v>0.39400000000000002</v>
      </c>
      <c r="AM6" s="73">
        <f>+AK6*AL6</f>
        <v>0</v>
      </c>
      <c r="AN6" s="99">
        <f t="shared" ref="AN6:AN21" si="17">+E6</f>
        <v>1.18</v>
      </c>
      <c r="AO6" s="20">
        <f t="shared" ref="AO6:AO16" si="18">+AK6*AN6</f>
        <v>0</v>
      </c>
    </row>
    <row r="7" spans="1:41" x14ac:dyDescent="0.25">
      <c r="A7" s="93" t="str">
        <f>+'Produktionsdata input'!B32</f>
        <v>BYG,  vår/vinter</v>
      </c>
      <c r="B7" s="97">
        <f>+'Produktionsdata input'!C32</f>
        <v>0</v>
      </c>
      <c r="C7" s="110">
        <v>0.36199999999999999</v>
      </c>
      <c r="D7" s="37">
        <f t="shared" ref="D7:D21" si="19">+B7*C7</f>
        <v>0</v>
      </c>
      <c r="E7" s="99">
        <v>1.06</v>
      </c>
      <c r="F7" s="20">
        <f t="shared" si="0"/>
        <v>0</v>
      </c>
      <c r="H7" s="93" t="str">
        <f t="shared" ref="H7:H21" si="20">+A7</f>
        <v>BYG,  vår/vinter</v>
      </c>
      <c r="I7" s="97">
        <f>+'Produktionsdata input'!D32</f>
        <v>0</v>
      </c>
      <c r="J7" s="110">
        <f t="shared" si="2"/>
        <v>0.36199999999999999</v>
      </c>
      <c r="K7" s="37">
        <f t="shared" ref="K7:K21" si="21">+I7*J7</f>
        <v>0</v>
      </c>
      <c r="L7" s="99">
        <f t="shared" ref="L7:L21" si="22">E7</f>
        <v>1.06</v>
      </c>
      <c r="M7" s="20">
        <f t="shared" si="3"/>
        <v>0</v>
      </c>
      <c r="O7" s="93" t="str">
        <f t="shared" si="4"/>
        <v>BYG,  vår/vinter</v>
      </c>
      <c r="P7" s="97">
        <f>+'Produktionsdata input'!E32</f>
        <v>0</v>
      </c>
      <c r="Q7" s="110">
        <f t="shared" si="5"/>
        <v>0.36199999999999999</v>
      </c>
      <c r="R7" s="37">
        <f t="shared" ref="R7:R21" si="23">+P7*Q7</f>
        <v>0</v>
      </c>
      <c r="S7" s="99">
        <f t="shared" si="6"/>
        <v>1.06</v>
      </c>
      <c r="T7" s="20">
        <f t="shared" si="7"/>
        <v>0</v>
      </c>
      <c r="V7" s="93" t="str">
        <f t="shared" ref="V7:V21" si="24">+A7</f>
        <v>BYG,  vår/vinter</v>
      </c>
      <c r="W7" s="97">
        <f>+'Produktionsdata input'!F32</f>
        <v>0</v>
      </c>
      <c r="X7" s="110">
        <f t="shared" ref="X7:X21" si="25">+C7</f>
        <v>0.36199999999999999</v>
      </c>
      <c r="Y7" s="37">
        <f t="shared" ref="Y7:Y21" si="26">+W7*X7</f>
        <v>0</v>
      </c>
      <c r="Z7" s="99">
        <f t="shared" si="9"/>
        <v>1.06</v>
      </c>
      <c r="AA7" s="20">
        <f t="shared" si="10"/>
        <v>0</v>
      </c>
      <c r="AC7" s="93" t="str">
        <f t="shared" si="11"/>
        <v>BYG,  vår/vinter</v>
      </c>
      <c r="AD7" s="97">
        <f>+'Produktionsdata input'!G32</f>
        <v>0</v>
      </c>
      <c r="AE7" s="110">
        <f t="shared" si="12"/>
        <v>0.36199999999999999</v>
      </c>
      <c r="AF7" s="37">
        <f t="shared" ref="AF7:AF21" si="27">+AD7*AE7</f>
        <v>0</v>
      </c>
      <c r="AG7" s="99">
        <f t="shared" si="13"/>
        <v>1.06</v>
      </c>
      <c r="AH7" s="20">
        <f t="shared" si="14"/>
        <v>0</v>
      </c>
      <c r="AJ7" s="93" t="str">
        <f t="shared" si="15"/>
        <v>BYG,  vår/vinter</v>
      </c>
      <c r="AK7" s="97">
        <f>+'Produktionsdata input'!H32</f>
        <v>0</v>
      </c>
      <c r="AL7" s="110">
        <f t="shared" si="16"/>
        <v>0.36199999999999999</v>
      </c>
      <c r="AM7" s="37">
        <f t="shared" ref="AM7:AM21" si="28">+AK7*AL7</f>
        <v>0</v>
      </c>
      <c r="AN7" s="99">
        <f t="shared" si="17"/>
        <v>1.06</v>
      </c>
      <c r="AO7" s="20">
        <f t="shared" si="18"/>
        <v>0</v>
      </c>
    </row>
    <row r="8" spans="1:41" x14ac:dyDescent="0.25">
      <c r="A8" s="93" t="str">
        <f>+'Produktionsdata input'!B33</f>
        <v>Rug/tritikale</v>
      </c>
      <c r="B8" s="97">
        <f>+'Produktionsdata input'!C33</f>
        <v>0</v>
      </c>
      <c r="C8" s="110">
        <v>0.36299999999999999</v>
      </c>
      <c r="D8" s="37">
        <f t="shared" si="19"/>
        <v>0</v>
      </c>
      <c r="E8" s="99">
        <v>1.1299999999999999</v>
      </c>
      <c r="F8" s="20">
        <f t="shared" si="0"/>
        <v>0</v>
      </c>
      <c r="H8" s="93" t="str">
        <f t="shared" si="20"/>
        <v>Rug/tritikale</v>
      </c>
      <c r="I8" s="97">
        <f>+'Produktionsdata input'!D33</f>
        <v>0</v>
      </c>
      <c r="J8" s="110">
        <f t="shared" si="2"/>
        <v>0.36299999999999999</v>
      </c>
      <c r="K8" s="37">
        <f t="shared" si="21"/>
        <v>0</v>
      </c>
      <c r="L8" s="99">
        <f t="shared" si="22"/>
        <v>1.1299999999999999</v>
      </c>
      <c r="M8" s="20">
        <f t="shared" si="3"/>
        <v>0</v>
      </c>
      <c r="O8" s="93" t="str">
        <f t="shared" si="4"/>
        <v>Rug/tritikale</v>
      </c>
      <c r="P8" s="97">
        <f>+'Produktionsdata input'!E33</f>
        <v>0</v>
      </c>
      <c r="Q8" s="110">
        <f t="shared" si="5"/>
        <v>0.36299999999999999</v>
      </c>
      <c r="R8" s="37">
        <f t="shared" si="23"/>
        <v>0</v>
      </c>
      <c r="S8" s="99">
        <f t="shared" si="6"/>
        <v>1.1299999999999999</v>
      </c>
      <c r="T8" s="20">
        <f t="shared" si="7"/>
        <v>0</v>
      </c>
      <c r="V8" s="93" t="str">
        <f t="shared" si="24"/>
        <v>Rug/tritikale</v>
      </c>
      <c r="W8" s="97">
        <f>+'Produktionsdata input'!F33</f>
        <v>0</v>
      </c>
      <c r="X8" s="110">
        <f t="shared" si="25"/>
        <v>0.36299999999999999</v>
      </c>
      <c r="Y8" s="37">
        <f t="shared" si="26"/>
        <v>0</v>
      </c>
      <c r="Z8" s="99">
        <f t="shared" si="9"/>
        <v>1.1299999999999999</v>
      </c>
      <c r="AA8" s="20">
        <f t="shared" si="10"/>
        <v>0</v>
      </c>
      <c r="AC8" s="93" t="str">
        <f t="shared" si="11"/>
        <v>Rug/tritikale</v>
      </c>
      <c r="AD8" s="97">
        <f>+'Produktionsdata input'!G33</f>
        <v>0</v>
      </c>
      <c r="AE8" s="110">
        <f t="shared" si="12"/>
        <v>0.36299999999999999</v>
      </c>
      <c r="AF8" s="37">
        <f t="shared" si="27"/>
        <v>0</v>
      </c>
      <c r="AG8" s="99">
        <f t="shared" si="13"/>
        <v>1.1299999999999999</v>
      </c>
      <c r="AH8" s="20">
        <f t="shared" si="14"/>
        <v>0</v>
      </c>
      <c r="AJ8" s="93" t="str">
        <f t="shared" si="15"/>
        <v>Rug/tritikale</v>
      </c>
      <c r="AK8" s="97">
        <f>+'Produktionsdata input'!H33</f>
        <v>0</v>
      </c>
      <c r="AL8" s="110">
        <f t="shared" si="16"/>
        <v>0.36299999999999999</v>
      </c>
      <c r="AM8" s="37">
        <f t="shared" si="28"/>
        <v>0</v>
      </c>
      <c r="AN8" s="99">
        <f t="shared" si="17"/>
        <v>1.1299999999999999</v>
      </c>
      <c r="AO8" s="20">
        <f t="shared" si="18"/>
        <v>0</v>
      </c>
    </row>
    <row r="9" spans="1:41" x14ac:dyDescent="0.25">
      <c r="A9" s="93" t="str">
        <f>+'Produktionsdata input'!B34</f>
        <v>Valle, gns af alle valletyper</v>
      </c>
      <c r="B9" s="97">
        <f>+'Produktionsdata input'!C34</f>
        <v>0</v>
      </c>
      <c r="C9" s="110">
        <v>2.5999999999999999E-2</v>
      </c>
      <c r="D9" s="37">
        <f t="shared" si="19"/>
        <v>0</v>
      </c>
      <c r="E9" s="99">
        <v>0.06</v>
      </c>
      <c r="F9" s="20">
        <f t="shared" si="0"/>
        <v>0</v>
      </c>
      <c r="H9" s="93" t="str">
        <f t="shared" si="20"/>
        <v>Valle, gns af alle valletyper</v>
      </c>
      <c r="I9" s="97">
        <f>+'Produktionsdata input'!D34</f>
        <v>0</v>
      </c>
      <c r="J9" s="110">
        <f t="shared" si="2"/>
        <v>2.5999999999999999E-2</v>
      </c>
      <c r="K9" s="37">
        <f t="shared" si="21"/>
        <v>0</v>
      </c>
      <c r="L9" s="99">
        <f t="shared" si="22"/>
        <v>0.06</v>
      </c>
      <c r="M9" s="20">
        <f t="shared" si="3"/>
        <v>0</v>
      </c>
      <c r="O9" s="93" t="str">
        <f t="shared" si="4"/>
        <v>Valle, gns af alle valletyper</v>
      </c>
      <c r="P9" s="97">
        <f>+'Produktionsdata input'!E34</f>
        <v>0</v>
      </c>
      <c r="Q9" s="110">
        <f t="shared" si="5"/>
        <v>2.5999999999999999E-2</v>
      </c>
      <c r="R9" s="37">
        <f t="shared" si="23"/>
        <v>0</v>
      </c>
      <c r="S9" s="99">
        <f t="shared" si="6"/>
        <v>0.06</v>
      </c>
      <c r="T9" s="20">
        <f t="shared" si="7"/>
        <v>0</v>
      </c>
      <c r="V9" s="93" t="str">
        <f t="shared" si="24"/>
        <v>Valle, gns af alle valletyper</v>
      </c>
      <c r="W9" s="97">
        <f>+'Produktionsdata input'!F34</f>
        <v>0</v>
      </c>
      <c r="X9" s="110">
        <f t="shared" si="25"/>
        <v>2.5999999999999999E-2</v>
      </c>
      <c r="Y9" s="37">
        <f t="shared" si="26"/>
        <v>0</v>
      </c>
      <c r="Z9" s="99">
        <f t="shared" si="9"/>
        <v>0.06</v>
      </c>
      <c r="AA9" s="20">
        <f t="shared" si="10"/>
        <v>0</v>
      </c>
      <c r="AC9" s="93" t="str">
        <f t="shared" si="11"/>
        <v>Valle, gns af alle valletyper</v>
      </c>
      <c r="AD9" s="97">
        <f>+'Produktionsdata input'!G34</f>
        <v>0</v>
      </c>
      <c r="AE9" s="110">
        <f t="shared" si="12"/>
        <v>2.5999999999999999E-2</v>
      </c>
      <c r="AF9" s="37">
        <f t="shared" si="27"/>
        <v>0</v>
      </c>
      <c r="AG9" s="99">
        <f t="shared" si="13"/>
        <v>0.06</v>
      </c>
      <c r="AH9" s="20">
        <f t="shared" si="14"/>
        <v>0</v>
      </c>
      <c r="AJ9" s="93" t="str">
        <f t="shared" si="15"/>
        <v>Valle, gns af alle valletyper</v>
      </c>
      <c r="AK9" s="97">
        <f>+'Produktionsdata input'!H34</f>
        <v>0</v>
      </c>
      <c r="AL9" s="110">
        <f t="shared" si="16"/>
        <v>2.5999999999999999E-2</v>
      </c>
      <c r="AM9" s="37">
        <f t="shared" si="28"/>
        <v>0</v>
      </c>
      <c r="AN9" s="99">
        <f t="shared" si="17"/>
        <v>0.06</v>
      </c>
      <c r="AO9" s="20">
        <f t="shared" si="18"/>
        <v>0</v>
      </c>
    </row>
    <row r="10" spans="1:41" x14ac:dyDescent="0.25">
      <c r="A10" s="93" t="str">
        <f>+'Produktionsdata input'!B35</f>
        <v>SOJASKRÅFODER,  afskallet toastet</v>
      </c>
      <c r="B10" s="97">
        <f>+'Produktionsdata input'!C35</f>
        <v>0</v>
      </c>
      <c r="C10" s="110">
        <v>0.999</v>
      </c>
      <c r="D10" s="37">
        <f t="shared" si="19"/>
        <v>0</v>
      </c>
      <c r="E10" s="99">
        <v>0.94</v>
      </c>
      <c r="F10" s="20">
        <f t="shared" si="0"/>
        <v>0</v>
      </c>
      <c r="H10" s="93" t="str">
        <f t="shared" si="20"/>
        <v>SOJASKRÅFODER,  afskallet toastet</v>
      </c>
      <c r="I10" s="97">
        <f>+'Produktionsdata input'!D35</f>
        <v>0</v>
      </c>
      <c r="J10" s="110">
        <f t="shared" si="2"/>
        <v>0.999</v>
      </c>
      <c r="K10" s="37">
        <f t="shared" si="21"/>
        <v>0</v>
      </c>
      <c r="L10" s="99">
        <f t="shared" si="22"/>
        <v>0.94</v>
      </c>
      <c r="M10" s="20">
        <f t="shared" si="3"/>
        <v>0</v>
      </c>
      <c r="O10" s="93" t="str">
        <f t="shared" si="4"/>
        <v>SOJASKRÅFODER,  afskallet toastet</v>
      </c>
      <c r="P10" s="97">
        <f>+'Produktionsdata input'!E35</f>
        <v>0</v>
      </c>
      <c r="Q10" s="110">
        <f t="shared" si="5"/>
        <v>0.999</v>
      </c>
      <c r="R10" s="37">
        <f t="shared" si="23"/>
        <v>0</v>
      </c>
      <c r="S10" s="99">
        <f t="shared" si="6"/>
        <v>0.94</v>
      </c>
      <c r="T10" s="20">
        <f t="shared" si="7"/>
        <v>0</v>
      </c>
      <c r="V10" s="93" t="str">
        <f t="shared" si="24"/>
        <v>SOJASKRÅFODER,  afskallet toastet</v>
      </c>
      <c r="W10" s="97">
        <f>+'Produktionsdata input'!F35</f>
        <v>0</v>
      </c>
      <c r="X10" s="110">
        <f t="shared" si="25"/>
        <v>0.999</v>
      </c>
      <c r="Y10" s="37">
        <f t="shared" si="26"/>
        <v>0</v>
      </c>
      <c r="Z10" s="99">
        <f t="shared" si="9"/>
        <v>0.94</v>
      </c>
      <c r="AA10" s="20">
        <f t="shared" si="10"/>
        <v>0</v>
      </c>
      <c r="AC10" s="93" t="str">
        <f t="shared" si="11"/>
        <v>SOJASKRÅFODER,  afskallet toastet</v>
      </c>
      <c r="AD10" s="97">
        <f>+'Produktionsdata input'!G35</f>
        <v>0</v>
      </c>
      <c r="AE10" s="110">
        <f t="shared" si="12"/>
        <v>0.999</v>
      </c>
      <c r="AF10" s="37">
        <f t="shared" si="27"/>
        <v>0</v>
      </c>
      <c r="AG10" s="99">
        <f t="shared" si="13"/>
        <v>0.94</v>
      </c>
      <c r="AH10" s="20">
        <f t="shared" si="14"/>
        <v>0</v>
      </c>
      <c r="AJ10" s="93" t="str">
        <f t="shared" si="15"/>
        <v>SOJASKRÅFODER,  afskallet toastet</v>
      </c>
      <c r="AK10" s="97">
        <f>+'Produktionsdata input'!H35</f>
        <v>0</v>
      </c>
      <c r="AL10" s="110">
        <f t="shared" si="16"/>
        <v>0.999</v>
      </c>
      <c r="AM10" s="37">
        <f t="shared" si="28"/>
        <v>0</v>
      </c>
      <c r="AN10" s="99">
        <f t="shared" si="17"/>
        <v>0.94</v>
      </c>
      <c r="AO10" s="20">
        <f t="shared" si="18"/>
        <v>0</v>
      </c>
    </row>
    <row r="11" spans="1:41" x14ac:dyDescent="0.25">
      <c r="A11" s="93" t="str">
        <f>+'Produktionsdata input'!B36</f>
        <v>RAPSSKRÅFODER,  lavt glukosinolatindhold</v>
      </c>
      <c r="B11" s="97">
        <f>+'Produktionsdata input'!C36</f>
        <v>0</v>
      </c>
      <c r="C11" s="110">
        <v>0.46700000000000003</v>
      </c>
      <c r="D11" s="37">
        <f t="shared" si="19"/>
        <v>0</v>
      </c>
      <c r="E11" s="99">
        <v>0.74</v>
      </c>
      <c r="F11" s="20">
        <f t="shared" si="0"/>
        <v>0</v>
      </c>
      <c r="H11" s="93" t="str">
        <f t="shared" si="20"/>
        <v>RAPSSKRÅFODER,  lavt glukosinolatindhold</v>
      </c>
      <c r="I11" s="97">
        <f>+'Produktionsdata input'!D36</f>
        <v>0</v>
      </c>
      <c r="J11" s="110">
        <f t="shared" si="2"/>
        <v>0.46700000000000003</v>
      </c>
      <c r="K11" s="37">
        <f t="shared" si="21"/>
        <v>0</v>
      </c>
      <c r="L11" s="99">
        <f t="shared" si="22"/>
        <v>0.74</v>
      </c>
      <c r="M11" s="20">
        <f t="shared" si="3"/>
        <v>0</v>
      </c>
      <c r="O11" s="93" t="str">
        <f t="shared" si="4"/>
        <v>RAPSSKRÅFODER,  lavt glukosinolatindhold</v>
      </c>
      <c r="P11" s="97">
        <f>+'Produktionsdata input'!E36</f>
        <v>0</v>
      </c>
      <c r="Q11" s="110">
        <f t="shared" si="5"/>
        <v>0.46700000000000003</v>
      </c>
      <c r="R11" s="37">
        <f t="shared" si="23"/>
        <v>0</v>
      </c>
      <c r="S11" s="99">
        <f t="shared" si="6"/>
        <v>0.74</v>
      </c>
      <c r="T11" s="20">
        <f t="shared" si="7"/>
        <v>0</v>
      </c>
      <c r="V11" s="93" t="str">
        <f t="shared" si="24"/>
        <v>RAPSSKRÅFODER,  lavt glukosinolatindhold</v>
      </c>
      <c r="W11" s="97">
        <f>+'Produktionsdata input'!F36</f>
        <v>0</v>
      </c>
      <c r="X11" s="110">
        <f t="shared" si="25"/>
        <v>0.46700000000000003</v>
      </c>
      <c r="Y11" s="37">
        <f t="shared" si="26"/>
        <v>0</v>
      </c>
      <c r="Z11" s="99">
        <f t="shared" si="9"/>
        <v>0.74</v>
      </c>
      <c r="AA11" s="20">
        <f t="shared" si="10"/>
        <v>0</v>
      </c>
      <c r="AC11" s="93" t="str">
        <f t="shared" si="11"/>
        <v>RAPSSKRÅFODER,  lavt glukosinolatindhold</v>
      </c>
      <c r="AD11" s="97">
        <f>+'Produktionsdata input'!G36</f>
        <v>0</v>
      </c>
      <c r="AE11" s="110">
        <f t="shared" si="12"/>
        <v>0.46700000000000003</v>
      </c>
      <c r="AF11" s="37">
        <f t="shared" si="27"/>
        <v>0</v>
      </c>
      <c r="AG11" s="99">
        <f t="shared" si="13"/>
        <v>0.74</v>
      </c>
      <c r="AH11" s="20">
        <f t="shared" si="14"/>
        <v>0</v>
      </c>
      <c r="AJ11" s="93" t="str">
        <f t="shared" si="15"/>
        <v>RAPSSKRÅFODER,  lavt glukosinolatindhold</v>
      </c>
      <c r="AK11" s="97">
        <f>+'Produktionsdata input'!H36</f>
        <v>0</v>
      </c>
      <c r="AL11" s="110">
        <f t="shared" si="16"/>
        <v>0.46700000000000003</v>
      </c>
      <c r="AM11" s="37">
        <f t="shared" si="28"/>
        <v>0</v>
      </c>
      <c r="AN11" s="99">
        <f t="shared" si="17"/>
        <v>0.74</v>
      </c>
      <c r="AO11" s="20">
        <f t="shared" si="18"/>
        <v>0</v>
      </c>
    </row>
    <row r="12" spans="1:41" x14ac:dyDescent="0.25">
      <c r="A12" s="93" t="str">
        <f>+'Produktionsdata input'!B37</f>
        <v>SOLSIKKESKRÅFODER,  afskallet</v>
      </c>
      <c r="B12" s="97">
        <f>+'Produktionsdata input'!C37</f>
        <v>0</v>
      </c>
      <c r="C12" s="110">
        <v>0.92100000000000004</v>
      </c>
      <c r="D12" s="37">
        <f t="shared" si="19"/>
        <v>0</v>
      </c>
      <c r="E12" s="99">
        <v>0.65</v>
      </c>
      <c r="F12" s="20">
        <f t="shared" si="0"/>
        <v>0</v>
      </c>
      <c r="H12" s="93" t="str">
        <f t="shared" si="20"/>
        <v>SOLSIKKESKRÅFODER,  afskallet</v>
      </c>
      <c r="I12" s="97">
        <f>+'Produktionsdata input'!D37</f>
        <v>0</v>
      </c>
      <c r="J12" s="110">
        <f t="shared" si="2"/>
        <v>0.92100000000000004</v>
      </c>
      <c r="K12" s="37">
        <f t="shared" si="21"/>
        <v>0</v>
      </c>
      <c r="L12" s="99">
        <f t="shared" si="22"/>
        <v>0.65</v>
      </c>
      <c r="M12" s="20">
        <f t="shared" si="3"/>
        <v>0</v>
      </c>
      <c r="O12" s="93" t="str">
        <f t="shared" si="4"/>
        <v>SOLSIKKESKRÅFODER,  afskallet</v>
      </c>
      <c r="P12" s="97">
        <f>+'Produktionsdata input'!E37</f>
        <v>0</v>
      </c>
      <c r="Q12" s="110">
        <f t="shared" si="5"/>
        <v>0.92100000000000004</v>
      </c>
      <c r="R12" s="37">
        <f t="shared" si="23"/>
        <v>0</v>
      </c>
      <c r="S12" s="99">
        <f t="shared" si="6"/>
        <v>0.65</v>
      </c>
      <c r="T12" s="20">
        <f t="shared" si="7"/>
        <v>0</v>
      </c>
      <c r="V12" s="93" t="str">
        <f t="shared" si="24"/>
        <v>SOLSIKKESKRÅFODER,  afskallet</v>
      </c>
      <c r="W12" s="97">
        <f>+'Produktionsdata input'!F37</f>
        <v>0</v>
      </c>
      <c r="X12" s="110">
        <f t="shared" si="25"/>
        <v>0.92100000000000004</v>
      </c>
      <c r="Y12" s="37">
        <f t="shared" si="26"/>
        <v>0</v>
      </c>
      <c r="Z12" s="99">
        <f t="shared" si="9"/>
        <v>0.65</v>
      </c>
      <c r="AA12" s="20">
        <f t="shared" si="10"/>
        <v>0</v>
      </c>
      <c r="AC12" s="93" t="str">
        <f t="shared" si="11"/>
        <v>SOLSIKKESKRÅFODER,  afskallet</v>
      </c>
      <c r="AD12" s="97">
        <f>+'Produktionsdata input'!G37</f>
        <v>0</v>
      </c>
      <c r="AE12" s="110">
        <f t="shared" si="12"/>
        <v>0.92100000000000004</v>
      </c>
      <c r="AF12" s="37">
        <f t="shared" si="27"/>
        <v>0</v>
      </c>
      <c r="AG12" s="99">
        <f t="shared" si="13"/>
        <v>0.65</v>
      </c>
      <c r="AH12" s="20">
        <f t="shared" si="14"/>
        <v>0</v>
      </c>
      <c r="AJ12" s="93" t="str">
        <f t="shared" si="15"/>
        <v>SOLSIKKESKRÅFODER,  afskallet</v>
      </c>
      <c r="AK12" s="97">
        <f>+'Produktionsdata input'!H37</f>
        <v>0</v>
      </c>
      <c r="AL12" s="110">
        <f t="shared" si="16"/>
        <v>0.92100000000000004</v>
      </c>
      <c r="AM12" s="37">
        <f t="shared" si="28"/>
        <v>0</v>
      </c>
      <c r="AN12" s="99">
        <f t="shared" si="17"/>
        <v>0.65</v>
      </c>
      <c r="AO12" s="20">
        <f t="shared" si="18"/>
        <v>0</v>
      </c>
    </row>
    <row r="13" spans="1:41" x14ac:dyDescent="0.25">
      <c r="A13" s="93" t="str">
        <f>+'Produktionsdata input'!B38</f>
        <v>Hestebønner</v>
      </c>
      <c r="B13" s="97">
        <f>+'Produktionsdata input'!C38</f>
        <v>0</v>
      </c>
      <c r="C13" s="110">
        <v>0.33</v>
      </c>
      <c r="D13" s="37">
        <f t="shared" si="19"/>
        <v>0</v>
      </c>
      <c r="E13" s="99">
        <v>0.85</v>
      </c>
      <c r="F13" s="20">
        <f t="shared" si="0"/>
        <v>0</v>
      </c>
      <c r="H13" s="93" t="str">
        <f t="shared" si="20"/>
        <v>Hestebønner</v>
      </c>
      <c r="I13" s="97">
        <f>+'Produktionsdata input'!D38</f>
        <v>0</v>
      </c>
      <c r="J13" s="110">
        <f t="shared" si="2"/>
        <v>0.33</v>
      </c>
      <c r="K13" s="37">
        <f t="shared" si="21"/>
        <v>0</v>
      </c>
      <c r="L13" s="99">
        <f t="shared" si="22"/>
        <v>0.85</v>
      </c>
      <c r="M13" s="20">
        <f t="shared" si="3"/>
        <v>0</v>
      </c>
      <c r="O13" s="93" t="str">
        <f t="shared" si="4"/>
        <v>Hestebønner</v>
      </c>
      <c r="P13" s="97">
        <f>+'Produktionsdata input'!E38</f>
        <v>0</v>
      </c>
      <c r="Q13" s="110">
        <f t="shared" si="5"/>
        <v>0.33</v>
      </c>
      <c r="R13" s="37">
        <f t="shared" si="23"/>
        <v>0</v>
      </c>
      <c r="S13" s="99">
        <f t="shared" si="6"/>
        <v>0.85</v>
      </c>
      <c r="T13" s="20">
        <f t="shared" si="7"/>
        <v>0</v>
      </c>
      <c r="V13" s="93" t="str">
        <f t="shared" si="24"/>
        <v>Hestebønner</v>
      </c>
      <c r="W13" s="97">
        <f>+'Produktionsdata input'!F38</f>
        <v>0</v>
      </c>
      <c r="X13" s="110">
        <f t="shared" si="25"/>
        <v>0.33</v>
      </c>
      <c r="Y13" s="37">
        <f t="shared" si="26"/>
        <v>0</v>
      </c>
      <c r="Z13" s="99">
        <f t="shared" si="9"/>
        <v>0.85</v>
      </c>
      <c r="AA13" s="20">
        <f t="shared" si="10"/>
        <v>0</v>
      </c>
      <c r="AC13" s="93" t="str">
        <f t="shared" si="11"/>
        <v>Hestebønner</v>
      </c>
      <c r="AD13" s="97">
        <f>+'Produktionsdata input'!G38</f>
        <v>0</v>
      </c>
      <c r="AE13" s="110">
        <f t="shared" si="12"/>
        <v>0.33</v>
      </c>
      <c r="AF13" s="37">
        <f t="shared" si="27"/>
        <v>0</v>
      </c>
      <c r="AG13" s="99">
        <f t="shared" si="13"/>
        <v>0.85</v>
      </c>
      <c r="AH13" s="20">
        <f t="shared" si="14"/>
        <v>0</v>
      </c>
      <c r="AJ13" s="93" t="str">
        <f t="shared" si="15"/>
        <v>Hestebønner</v>
      </c>
      <c r="AK13" s="97">
        <f>+'Produktionsdata input'!H38</f>
        <v>0</v>
      </c>
      <c r="AL13" s="110">
        <f t="shared" si="16"/>
        <v>0.33</v>
      </c>
      <c r="AM13" s="37">
        <f t="shared" si="28"/>
        <v>0</v>
      </c>
      <c r="AN13" s="99">
        <f t="shared" si="17"/>
        <v>0.85</v>
      </c>
      <c r="AO13" s="20">
        <f t="shared" si="18"/>
        <v>0</v>
      </c>
    </row>
    <row r="14" spans="1:41" x14ac:dyDescent="0.25">
      <c r="A14" s="93" t="str">
        <f>+'Produktionsdata input'!B39</f>
        <v>HVEDEKLID</v>
      </c>
      <c r="B14" s="97">
        <f>+'Produktionsdata input'!C39</f>
        <v>0</v>
      </c>
      <c r="C14" s="110">
        <v>0.36599999999999999</v>
      </c>
      <c r="D14" s="37">
        <f t="shared" si="19"/>
        <v>0</v>
      </c>
      <c r="E14" s="99">
        <v>0.62</v>
      </c>
      <c r="F14" s="20">
        <f t="shared" si="0"/>
        <v>0</v>
      </c>
      <c r="H14" s="93" t="str">
        <f t="shared" si="20"/>
        <v>HVEDEKLID</v>
      </c>
      <c r="I14" s="97">
        <f>+'Produktionsdata input'!D39</f>
        <v>0</v>
      </c>
      <c r="J14" s="110">
        <f t="shared" si="2"/>
        <v>0.36599999999999999</v>
      </c>
      <c r="K14" s="37">
        <f t="shared" si="21"/>
        <v>0</v>
      </c>
      <c r="L14" s="99">
        <f t="shared" si="22"/>
        <v>0.62</v>
      </c>
      <c r="M14" s="20">
        <f t="shared" si="3"/>
        <v>0</v>
      </c>
      <c r="O14" s="93" t="str">
        <f t="shared" si="4"/>
        <v>HVEDEKLID</v>
      </c>
      <c r="P14" s="97">
        <f>+'Produktionsdata input'!E39</f>
        <v>0</v>
      </c>
      <c r="Q14" s="110">
        <f t="shared" si="5"/>
        <v>0.36599999999999999</v>
      </c>
      <c r="R14" s="37">
        <f t="shared" si="23"/>
        <v>0</v>
      </c>
      <c r="S14" s="99">
        <f t="shared" si="6"/>
        <v>0.62</v>
      </c>
      <c r="T14" s="20">
        <f t="shared" ref="T14:T21" si="29">+P14*S14</f>
        <v>0</v>
      </c>
      <c r="V14" s="93" t="str">
        <f t="shared" si="24"/>
        <v>HVEDEKLID</v>
      </c>
      <c r="W14" s="97">
        <f>+'Produktionsdata input'!F39</f>
        <v>0</v>
      </c>
      <c r="X14" s="110">
        <f t="shared" si="25"/>
        <v>0.36599999999999999</v>
      </c>
      <c r="Y14" s="37">
        <f t="shared" si="26"/>
        <v>0</v>
      </c>
      <c r="Z14" s="99">
        <f t="shared" si="9"/>
        <v>0.62</v>
      </c>
      <c r="AA14" s="20">
        <f t="shared" si="10"/>
        <v>0</v>
      </c>
      <c r="AC14" s="93" t="str">
        <f t="shared" si="11"/>
        <v>HVEDEKLID</v>
      </c>
      <c r="AD14" s="97">
        <f>+'Produktionsdata input'!G39</f>
        <v>0</v>
      </c>
      <c r="AE14" s="110">
        <f t="shared" si="12"/>
        <v>0.36599999999999999</v>
      </c>
      <c r="AF14" s="37">
        <f t="shared" si="27"/>
        <v>0</v>
      </c>
      <c r="AG14" s="99">
        <f t="shared" si="13"/>
        <v>0.62</v>
      </c>
      <c r="AH14" s="20">
        <f t="shared" si="14"/>
        <v>0</v>
      </c>
      <c r="AJ14" s="93" t="str">
        <f t="shared" si="15"/>
        <v>HVEDEKLID</v>
      </c>
      <c r="AK14" s="97">
        <f>+'Produktionsdata input'!H39</f>
        <v>0</v>
      </c>
      <c r="AL14" s="110">
        <f t="shared" si="16"/>
        <v>0.36599999999999999</v>
      </c>
      <c r="AM14" s="37">
        <f t="shared" si="28"/>
        <v>0</v>
      </c>
      <c r="AN14" s="99">
        <f t="shared" si="17"/>
        <v>0.62</v>
      </c>
      <c r="AO14" s="20">
        <f t="shared" si="18"/>
        <v>0</v>
      </c>
    </row>
    <row r="15" spans="1:41" x14ac:dyDescent="0.25">
      <c r="A15" s="93" t="str">
        <f>+'Produktionsdata input'!B40</f>
        <v>VEGETABILSK OLIE OG FEDTSTOF, Palme</v>
      </c>
      <c r="B15" s="97">
        <f>+'Produktionsdata input'!C40</f>
        <v>0</v>
      </c>
      <c r="C15" s="110">
        <v>6.2320000000000002</v>
      </c>
      <c r="D15" s="37">
        <f t="shared" si="19"/>
        <v>0</v>
      </c>
      <c r="E15" s="99">
        <v>3.81</v>
      </c>
      <c r="F15" s="20">
        <f t="shared" si="0"/>
        <v>0</v>
      </c>
      <c r="H15" s="93" t="str">
        <f t="shared" si="20"/>
        <v>VEGETABILSK OLIE OG FEDTSTOF, Palme</v>
      </c>
      <c r="I15" s="97">
        <f>+'Produktionsdata input'!D40</f>
        <v>0</v>
      </c>
      <c r="J15" s="110">
        <f t="shared" si="2"/>
        <v>6.2320000000000002</v>
      </c>
      <c r="K15" s="37">
        <f t="shared" si="21"/>
        <v>0</v>
      </c>
      <c r="L15" s="99">
        <f t="shared" si="22"/>
        <v>3.81</v>
      </c>
      <c r="M15" s="20">
        <f t="shared" si="3"/>
        <v>0</v>
      </c>
      <c r="O15" s="93" t="str">
        <f t="shared" si="4"/>
        <v>VEGETABILSK OLIE OG FEDTSTOF, Palme</v>
      </c>
      <c r="P15" s="97">
        <f>+'Produktionsdata input'!E40</f>
        <v>0</v>
      </c>
      <c r="Q15" s="110">
        <f t="shared" si="5"/>
        <v>6.2320000000000002</v>
      </c>
      <c r="R15" s="37">
        <f t="shared" si="23"/>
        <v>0</v>
      </c>
      <c r="S15" s="99">
        <f t="shared" si="6"/>
        <v>3.81</v>
      </c>
      <c r="T15" s="20">
        <f t="shared" si="29"/>
        <v>0</v>
      </c>
      <c r="V15" s="93" t="str">
        <f t="shared" si="24"/>
        <v>VEGETABILSK OLIE OG FEDTSTOF, Palme</v>
      </c>
      <c r="W15" s="97">
        <f>+'Produktionsdata input'!F40</f>
        <v>0</v>
      </c>
      <c r="X15" s="110">
        <f t="shared" si="25"/>
        <v>6.2320000000000002</v>
      </c>
      <c r="Y15" s="37">
        <f t="shared" si="26"/>
        <v>0</v>
      </c>
      <c r="Z15" s="99">
        <f t="shared" si="9"/>
        <v>3.81</v>
      </c>
      <c r="AA15" s="20">
        <f t="shared" si="10"/>
        <v>0</v>
      </c>
      <c r="AC15" s="93" t="str">
        <f t="shared" si="11"/>
        <v>VEGETABILSK OLIE OG FEDTSTOF, Palme</v>
      </c>
      <c r="AD15" s="97">
        <f>+'Produktionsdata input'!G40</f>
        <v>0</v>
      </c>
      <c r="AE15" s="110">
        <f t="shared" si="12"/>
        <v>6.2320000000000002</v>
      </c>
      <c r="AF15" s="37">
        <f t="shared" si="27"/>
        <v>0</v>
      </c>
      <c r="AG15" s="99">
        <f t="shared" si="13"/>
        <v>3.81</v>
      </c>
      <c r="AH15" s="20">
        <f t="shared" si="14"/>
        <v>0</v>
      </c>
      <c r="AJ15" s="93" t="str">
        <f t="shared" si="15"/>
        <v>VEGETABILSK OLIE OG FEDTSTOF, Palme</v>
      </c>
      <c r="AK15" s="97">
        <f>+'Produktionsdata input'!H40</f>
        <v>0</v>
      </c>
      <c r="AL15" s="110">
        <f t="shared" si="16"/>
        <v>6.2320000000000002</v>
      </c>
      <c r="AM15" s="37">
        <f t="shared" si="28"/>
        <v>0</v>
      </c>
      <c r="AN15" s="99">
        <f t="shared" si="17"/>
        <v>3.81</v>
      </c>
      <c r="AO15" s="20">
        <f t="shared" si="18"/>
        <v>0</v>
      </c>
    </row>
    <row r="16" spans="1:41" x14ac:dyDescent="0.25">
      <c r="A16" s="93" t="str">
        <f>+'Produktionsdata input'!B41</f>
        <v>SOJA/Raps olie</v>
      </c>
      <c r="B16" s="97">
        <f>+'Produktionsdata input'!C41</f>
        <v>0</v>
      </c>
      <c r="C16" s="110">
        <v>1.92</v>
      </c>
      <c r="D16" s="37">
        <f t="shared" si="19"/>
        <v>0</v>
      </c>
      <c r="E16" s="99">
        <v>4</v>
      </c>
      <c r="F16" s="20">
        <f t="shared" si="0"/>
        <v>0</v>
      </c>
      <c r="H16" s="93" t="str">
        <f t="shared" si="20"/>
        <v>SOJA/Raps olie</v>
      </c>
      <c r="I16" s="97">
        <f>+'Produktionsdata input'!D41</f>
        <v>0</v>
      </c>
      <c r="J16" s="110">
        <f>+C16</f>
        <v>1.92</v>
      </c>
      <c r="K16" s="37">
        <f t="shared" si="21"/>
        <v>0</v>
      </c>
      <c r="L16" s="99">
        <f t="shared" si="22"/>
        <v>4</v>
      </c>
      <c r="M16" s="20">
        <f t="shared" si="3"/>
        <v>0</v>
      </c>
      <c r="O16" s="93" t="str">
        <f t="shared" si="4"/>
        <v>SOJA/Raps olie</v>
      </c>
      <c r="P16" s="97">
        <f>+'Produktionsdata input'!E41</f>
        <v>0</v>
      </c>
      <c r="Q16" s="110">
        <f>+C16</f>
        <v>1.92</v>
      </c>
      <c r="R16" s="37">
        <f t="shared" si="23"/>
        <v>0</v>
      </c>
      <c r="S16" s="99">
        <f t="shared" si="6"/>
        <v>4</v>
      </c>
      <c r="T16" s="20">
        <f t="shared" si="29"/>
        <v>0</v>
      </c>
      <c r="V16" s="93" t="str">
        <f t="shared" si="24"/>
        <v>SOJA/Raps olie</v>
      </c>
      <c r="W16" s="97">
        <f>+'Produktionsdata input'!F41</f>
        <v>0</v>
      </c>
      <c r="X16" s="110">
        <f>+C16</f>
        <v>1.92</v>
      </c>
      <c r="Y16" s="37">
        <f t="shared" si="26"/>
        <v>0</v>
      </c>
      <c r="Z16" s="99">
        <f t="shared" si="9"/>
        <v>4</v>
      </c>
      <c r="AA16" s="20">
        <f t="shared" si="10"/>
        <v>0</v>
      </c>
      <c r="AC16" s="93" t="str">
        <f t="shared" si="11"/>
        <v>SOJA/Raps olie</v>
      </c>
      <c r="AD16" s="97">
        <f>+'Produktionsdata input'!G41</f>
        <v>0</v>
      </c>
      <c r="AE16" s="110">
        <f t="shared" si="12"/>
        <v>1.92</v>
      </c>
      <c r="AF16" s="37">
        <f t="shared" si="27"/>
        <v>0</v>
      </c>
      <c r="AG16" s="99">
        <f t="shared" si="13"/>
        <v>4</v>
      </c>
      <c r="AH16" s="20">
        <f t="shared" si="14"/>
        <v>0</v>
      </c>
      <c r="AJ16" s="93" t="str">
        <f t="shared" si="15"/>
        <v>SOJA/Raps olie</v>
      </c>
      <c r="AK16" s="97">
        <f>+'Produktionsdata input'!H41</f>
        <v>0</v>
      </c>
      <c r="AL16" s="110">
        <f t="shared" si="16"/>
        <v>1.92</v>
      </c>
      <c r="AM16" s="37">
        <f t="shared" si="28"/>
        <v>0</v>
      </c>
      <c r="AN16" s="99">
        <f t="shared" si="17"/>
        <v>4</v>
      </c>
      <c r="AO16" s="20">
        <f t="shared" si="18"/>
        <v>0</v>
      </c>
    </row>
    <row r="17" spans="1:41" x14ac:dyDescent="0.25">
      <c r="A17" s="93" t="str">
        <f>+'Produktionsdata input'!B42</f>
        <v>SUKKERROEMELASSE</v>
      </c>
      <c r="B17" s="97">
        <f>+'Produktionsdata input'!C42</f>
        <v>0</v>
      </c>
      <c r="C17" s="110">
        <v>0.19</v>
      </c>
      <c r="D17" s="37">
        <f t="shared" si="19"/>
        <v>0</v>
      </c>
      <c r="E17" s="99">
        <v>0.68</v>
      </c>
      <c r="F17" s="20">
        <f t="shared" si="0"/>
        <v>0</v>
      </c>
      <c r="H17" s="93" t="str">
        <f t="shared" si="20"/>
        <v>SUKKERROEMELASSE</v>
      </c>
      <c r="I17" s="97">
        <f>+'Produktionsdata input'!D42</f>
        <v>0</v>
      </c>
      <c r="J17" s="110">
        <f t="shared" si="2"/>
        <v>0.19</v>
      </c>
      <c r="K17" s="37">
        <f t="shared" si="21"/>
        <v>0</v>
      </c>
      <c r="L17" s="99">
        <f t="shared" si="22"/>
        <v>0.68</v>
      </c>
      <c r="M17" s="20">
        <f t="shared" si="3"/>
        <v>0</v>
      </c>
      <c r="O17" s="93" t="str">
        <f t="shared" si="4"/>
        <v>SUKKERROEMELASSE</v>
      </c>
      <c r="P17" s="97">
        <f>+'Produktionsdata input'!E42</f>
        <v>0</v>
      </c>
      <c r="Q17" s="110">
        <f t="shared" si="5"/>
        <v>0.19</v>
      </c>
      <c r="R17" s="37">
        <f t="shared" si="23"/>
        <v>0</v>
      </c>
      <c r="S17" s="99">
        <f t="shared" si="6"/>
        <v>0.68</v>
      </c>
      <c r="T17" s="20">
        <f t="shared" si="29"/>
        <v>0</v>
      </c>
      <c r="V17" s="93" t="str">
        <f t="shared" si="24"/>
        <v>SUKKERROEMELASSE</v>
      </c>
      <c r="W17" s="97">
        <f>+'Produktionsdata input'!F42</f>
        <v>0</v>
      </c>
      <c r="X17" s="110">
        <f t="shared" si="25"/>
        <v>0.19</v>
      </c>
      <c r="Y17" s="37">
        <f t="shared" si="26"/>
        <v>0</v>
      </c>
      <c r="Z17" s="99">
        <f t="shared" si="9"/>
        <v>0.68</v>
      </c>
      <c r="AA17" s="20">
        <f t="shared" ref="AA17:AA21" si="30">+W17*Z17</f>
        <v>0</v>
      </c>
      <c r="AC17" s="93" t="str">
        <f t="shared" si="11"/>
        <v>SUKKERROEMELASSE</v>
      </c>
      <c r="AD17" s="97">
        <f>+'Produktionsdata input'!G42</f>
        <v>0</v>
      </c>
      <c r="AE17" s="110">
        <f t="shared" si="12"/>
        <v>0.19</v>
      </c>
      <c r="AF17" s="37">
        <f t="shared" si="27"/>
        <v>0</v>
      </c>
      <c r="AG17" s="99">
        <f t="shared" si="13"/>
        <v>0.68</v>
      </c>
      <c r="AH17" s="20">
        <f t="shared" ref="AH17:AH21" si="31">+AD17*AG17</f>
        <v>0</v>
      </c>
      <c r="AJ17" s="93" t="str">
        <f t="shared" si="15"/>
        <v>SUKKERROEMELASSE</v>
      </c>
      <c r="AK17" s="97">
        <f>+'Produktionsdata input'!H42</f>
        <v>0</v>
      </c>
      <c r="AL17" s="110">
        <f t="shared" si="16"/>
        <v>0.19</v>
      </c>
      <c r="AM17" s="37">
        <f t="shared" si="28"/>
        <v>0</v>
      </c>
      <c r="AN17" s="99">
        <f t="shared" si="17"/>
        <v>0.68</v>
      </c>
      <c r="AO17" s="20">
        <f t="shared" ref="AO17:AO21" si="32">+AK17*AN17</f>
        <v>0</v>
      </c>
    </row>
    <row r="18" spans="1:41" x14ac:dyDescent="0.25">
      <c r="A18" s="93" t="str">
        <f>+'Produktionsdata input'!B43</f>
        <v>Fiskemel</v>
      </c>
      <c r="B18" s="97">
        <f>+'Produktionsdata input'!C43</f>
        <v>0</v>
      </c>
      <c r="C18" s="110">
        <v>1.4730000000000001</v>
      </c>
      <c r="D18" s="37">
        <f t="shared" si="19"/>
        <v>0</v>
      </c>
      <c r="E18" s="99">
        <v>1.1599999999999999</v>
      </c>
      <c r="F18" s="20">
        <f t="shared" si="0"/>
        <v>0</v>
      </c>
      <c r="H18" s="93" t="str">
        <f t="shared" si="20"/>
        <v>Fiskemel</v>
      </c>
      <c r="I18" s="97">
        <f>+'Produktionsdata input'!D43</f>
        <v>0</v>
      </c>
      <c r="J18" s="110">
        <f t="shared" si="2"/>
        <v>1.4730000000000001</v>
      </c>
      <c r="K18" s="37">
        <f t="shared" si="21"/>
        <v>0</v>
      </c>
      <c r="L18" s="99">
        <f t="shared" si="22"/>
        <v>1.1599999999999999</v>
      </c>
      <c r="M18" s="20">
        <f t="shared" si="3"/>
        <v>0</v>
      </c>
      <c r="O18" s="93" t="str">
        <f t="shared" si="4"/>
        <v>Fiskemel</v>
      </c>
      <c r="P18" s="97">
        <f>+'Produktionsdata input'!E43</f>
        <v>0</v>
      </c>
      <c r="Q18" s="110">
        <f t="shared" si="5"/>
        <v>1.4730000000000001</v>
      </c>
      <c r="R18" s="37">
        <f t="shared" si="23"/>
        <v>0</v>
      </c>
      <c r="S18" s="99">
        <f t="shared" si="6"/>
        <v>1.1599999999999999</v>
      </c>
      <c r="T18" s="20">
        <f t="shared" si="29"/>
        <v>0</v>
      </c>
      <c r="V18" s="93" t="str">
        <f t="shared" si="24"/>
        <v>Fiskemel</v>
      </c>
      <c r="W18" s="97">
        <f>+'Produktionsdata input'!F43</f>
        <v>0</v>
      </c>
      <c r="X18" s="110">
        <f t="shared" si="25"/>
        <v>1.4730000000000001</v>
      </c>
      <c r="Y18" s="37">
        <f t="shared" si="26"/>
        <v>0</v>
      </c>
      <c r="Z18" s="99">
        <f t="shared" si="9"/>
        <v>1.1599999999999999</v>
      </c>
      <c r="AA18" s="20">
        <f t="shared" si="30"/>
        <v>0</v>
      </c>
      <c r="AC18" s="93" t="str">
        <f t="shared" si="11"/>
        <v>Fiskemel</v>
      </c>
      <c r="AD18" s="97">
        <f>+'Produktionsdata input'!G43</f>
        <v>0</v>
      </c>
      <c r="AE18" s="110">
        <f t="shared" si="12"/>
        <v>1.4730000000000001</v>
      </c>
      <c r="AF18" s="37">
        <f t="shared" si="27"/>
        <v>0</v>
      </c>
      <c r="AG18" s="99">
        <f t="shared" si="13"/>
        <v>1.1599999999999999</v>
      </c>
      <c r="AH18" s="20">
        <f t="shared" si="31"/>
        <v>0</v>
      </c>
      <c r="AJ18" s="93" t="str">
        <f t="shared" si="15"/>
        <v>Fiskemel</v>
      </c>
      <c r="AK18" s="97">
        <f>+'Produktionsdata input'!H43</f>
        <v>0</v>
      </c>
      <c r="AL18" s="110">
        <f t="shared" si="16"/>
        <v>1.4730000000000001</v>
      </c>
      <c r="AM18" s="37">
        <f t="shared" ref="AM18:AM19" si="33">+AK18*AL18</f>
        <v>0</v>
      </c>
      <c r="AN18" s="99">
        <f t="shared" si="17"/>
        <v>1.1599999999999999</v>
      </c>
      <c r="AO18" s="20">
        <f t="shared" si="32"/>
        <v>0</v>
      </c>
    </row>
    <row r="19" spans="1:41" x14ac:dyDescent="0.25">
      <c r="A19" s="93" t="str">
        <f>+'Produktionsdata input'!B44</f>
        <v>Skummetmælkspulver</v>
      </c>
      <c r="B19" s="97">
        <f>+'Produktionsdata input'!C44</f>
        <v>0</v>
      </c>
      <c r="C19" s="110">
        <v>7.8760000000000003</v>
      </c>
      <c r="D19" s="37">
        <f t="shared" si="19"/>
        <v>0</v>
      </c>
      <c r="E19" s="99">
        <v>1.29</v>
      </c>
      <c r="F19" s="20">
        <f t="shared" si="0"/>
        <v>0</v>
      </c>
      <c r="H19" s="93" t="str">
        <f t="shared" si="20"/>
        <v>Skummetmælkspulver</v>
      </c>
      <c r="I19" s="97">
        <f>+'Produktionsdata input'!D44</f>
        <v>0</v>
      </c>
      <c r="J19" s="110">
        <f t="shared" si="2"/>
        <v>7.8760000000000003</v>
      </c>
      <c r="K19" s="37">
        <f t="shared" si="21"/>
        <v>0</v>
      </c>
      <c r="L19" s="99">
        <f t="shared" si="22"/>
        <v>1.29</v>
      </c>
      <c r="M19" s="20">
        <f t="shared" si="3"/>
        <v>0</v>
      </c>
      <c r="O19" s="93" t="str">
        <f t="shared" si="4"/>
        <v>Skummetmælkspulver</v>
      </c>
      <c r="P19" s="97">
        <f>+'Produktionsdata input'!E44</f>
        <v>0</v>
      </c>
      <c r="Q19" s="110">
        <f t="shared" si="5"/>
        <v>7.8760000000000003</v>
      </c>
      <c r="R19" s="37">
        <f t="shared" si="23"/>
        <v>0</v>
      </c>
      <c r="S19" s="99">
        <f t="shared" si="6"/>
        <v>1.29</v>
      </c>
      <c r="T19" s="20">
        <f t="shared" si="29"/>
        <v>0</v>
      </c>
      <c r="V19" s="93" t="str">
        <f t="shared" si="24"/>
        <v>Skummetmælkspulver</v>
      </c>
      <c r="W19" s="97">
        <f>+'Produktionsdata input'!F44</f>
        <v>0</v>
      </c>
      <c r="X19" s="110">
        <f t="shared" si="25"/>
        <v>7.8760000000000003</v>
      </c>
      <c r="Y19" s="37">
        <f t="shared" si="26"/>
        <v>0</v>
      </c>
      <c r="Z19" s="99">
        <f t="shared" si="9"/>
        <v>1.29</v>
      </c>
      <c r="AA19" s="20">
        <f t="shared" si="30"/>
        <v>0</v>
      </c>
      <c r="AC19" s="93" t="str">
        <f t="shared" si="11"/>
        <v>Skummetmælkspulver</v>
      </c>
      <c r="AD19" s="97">
        <f>+'Produktionsdata input'!G44</f>
        <v>0</v>
      </c>
      <c r="AE19" s="110">
        <f t="shared" si="12"/>
        <v>7.8760000000000003</v>
      </c>
      <c r="AF19" s="37">
        <f t="shared" si="27"/>
        <v>0</v>
      </c>
      <c r="AG19" s="99">
        <f t="shared" si="13"/>
        <v>1.29</v>
      </c>
      <c r="AH19" s="20">
        <f t="shared" si="31"/>
        <v>0</v>
      </c>
      <c r="AJ19" s="93" t="str">
        <f t="shared" si="15"/>
        <v>Skummetmælkspulver</v>
      </c>
      <c r="AK19" s="97">
        <f>+'Produktionsdata input'!H44</f>
        <v>0</v>
      </c>
      <c r="AL19" s="110">
        <f t="shared" si="16"/>
        <v>7.8760000000000003</v>
      </c>
      <c r="AM19" s="37">
        <f t="shared" si="33"/>
        <v>0</v>
      </c>
      <c r="AN19" s="99">
        <f t="shared" si="17"/>
        <v>1.29</v>
      </c>
      <c r="AO19" s="20">
        <f t="shared" si="32"/>
        <v>0</v>
      </c>
    </row>
    <row r="20" spans="1:41" x14ac:dyDescent="0.25">
      <c r="A20" s="93" t="str">
        <f>+'Produktionsdata input'!B45</f>
        <v>Mineralsk foderblanding</v>
      </c>
      <c r="B20" s="97">
        <f>+'Produktionsdata input'!C45</f>
        <v>0</v>
      </c>
      <c r="C20" s="110">
        <v>1.31</v>
      </c>
      <c r="D20" s="37">
        <f t="shared" si="19"/>
        <v>0</v>
      </c>
      <c r="E20" s="99">
        <v>0.2</v>
      </c>
      <c r="F20" s="20">
        <f t="shared" si="0"/>
        <v>0</v>
      </c>
      <c r="H20" s="93" t="str">
        <f t="shared" si="20"/>
        <v>Mineralsk foderblanding</v>
      </c>
      <c r="I20" s="97">
        <f>+'Produktionsdata input'!D45</f>
        <v>0</v>
      </c>
      <c r="J20" s="110">
        <f t="shared" si="2"/>
        <v>1.31</v>
      </c>
      <c r="K20" s="37">
        <f t="shared" si="21"/>
        <v>0</v>
      </c>
      <c r="L20" s="99">
        <f t="shared" si="22"/>
        <v>0.2</v>
      </c>
      <c r="M20" s="20">
        <f t="shared" si="3"/>
        <v>0</v>
      </c>
      <c r="O20" s="93" t="str">
        <f t="shared" si="4"/>
        <v>Mineralsk foderblanding</v>
      </c>
      <c r="P20" s="97">
        <f>+'Produktionsdata input'!E45</f>
        <v>0</v>
      </c>
      <c r="Q20" s="110">
        <f t="shared" si="5"/>
        <v>1.31</v>
      </c>
      <c r="R20" s="37">
        <f t="shared" si="23"/>
        <v>0</v>
      </c>
      <c r="S20" s="99">
        <f t="shared" si="6"/>
        <v>0.2</v>
      </c>
      <c r="T20" s="20">
        <f t="shared" si="29"/>
        <v>0</v>
      </c>
      <c r="V20" s="93" t="str">
        <f t="shared" si="24"/>
        <v>Mineralsk foderblanding</v>
      </c>
      <c r="W20" s="97">
        <f>+'Produktionsdata input'!F45</f>
        <v>0</v>
      </c>
      <c r="X20" s="110">
        <f t="shared" si="25"/>
        <v>1.31</v>
      </c>
      <c r="Y20" s="37">
        <f t="shared" si="26"/>
        <v>0</v>
      </c>
      <c r="Z20" s="99">
        <f t="shared" si="9"/>
        <v>0.2</v>
      </c>
      <c r="AA20" s="20">
        <f t="shared" si="30"/>
        <v>0</v>
      </c>
      <c r="AC20" s="93" t="str">
        <f t="shared" si="11"/>
        <v>Mineralsk foderblanding</v>
      </c>
      <c r="AD20" s="97">
        <f>+'Produktionsdata input'!G45</f>
        <v>0</v>
      </c>
      <c r="AE20" s="110">
        <f t="shared" si="12"/>
        <v>1.31</v>
      </c>
      <c r="AF20" s="37">
        <f t="shared" si="27"/>
        <v>0</v>
      </c>
      <c r="AG20" s="99">
        <f t="shared" si="13"/>
        <v>0.2</v>
      </c>
      <c r="AH20" s="20">
        <f t="shared" si="31"/>
        <v>0</v>
      </c>
      <c r="AJ20" s="93" t="str">
        <f t="shared" si="15"/>
        <v>Mineralsk foderblanding</v>
      </c>
      <c r="AK20" s="97">
        <f>+'Produktionsdata input'!H45</f>
        <v>0</v>
      </c>
      <c r="AL20" s="110">
        <f t="shared" si="16"/>
        <v>1.31</v>
      </c>
      <c r="AM20" s="37">
        <f t="shared" si="28"/>
        <v>0</v>
      </c>
      <c r="AN20" s="99">
        <f t="shared" si="17"/>
        <v>0.2</v>
      </c>
      <c r="AO20" s="20">
        <f t="shared" si="32"/>
        <v>0</v>
      </c>
    </row>
    <row r="21" spans="1:41" ht="16.5" thickBot="1" x14ac:dyDescent="0.3">
      <c r="A21" s="93" t="str">
        <f>+'Produktionsdata input'!B46</f>
        <v>Andet</v>
      </c>
      <c r="B21" s="97">
        <f>+'Produktionsdata input'!C46</f>
        <v>0</v>
      </c>
      <c r="C21" s="110">
        <v>0.6</v>
      </c>
      <c r="D21" s="37">
        <f t="shared" si="19"/>
        <v>0</v>
      </c>
      <c r="E21" s="99">
        <v>1.2</v>
      </c>
      <c r="F21" s="20">
        <f t="shared" si="0"/>
        <v>0</v>
      </c>
      <c r="H21" s="93" t="str">
        <f t="shared" si="20"/>
        <v>Andet</v>
      </c>
      <c r="I21" s="97">
        <f>+'Produktionsdata input'!D46</f>
        <v>0</v>
      </c>
      <c r="J21" s="110">
        <f t="shared" si="2"/>
        <v>0.6</v>
      </c>
      <c r="K21" s="37">
        <f t="shared" si="21"/>
        <v>0</v>
      </c>
      <c r="L21" s="99">
        <f t="shared" si="22"/>
        <v>1.2</v>
      </c>
      <c r="M21" s="20">
        <f t="shared" si="3"/>
        <v>0</v>
      </c>
      <c r="O21" s="93" t="str">
        <f t="shared" si="4"/>
        <v>Andet</v>
      </c>
      <c r="P21" s="97">
        <f>+'Produktionsdata input'!E46</f>
        <v>0</v>
      </c>
      <c r="Q21" s="110">
        <f t="shared" si="5"/>
        <v>0.6</v>
      </c>
      <c r="R21" s="37">
        <f t="shared" si="23"/>
        <v>0</v>
      </c>
      <c r="S21" s="99">
        <f t="shared" si="6"/>
        <v>1.2</v>
      </c>
      <c r="T21" s="20">
        <f t="shared" si="29"/>
        <v>0</v>
      </c>
      <c r="V21" s="93" t="str">
        <f t="shared" si="24"/>
        <v>Andet</v>
      </c>
      <c r="W21" s="97">
        <f>+'Produktionsdata input'!F46</f>
        <v>0</v>
      </c>
      <c r="X21" s="110">
        <f t="shared" si="25"/>
        <v>0.6</v>
      </c>
      <c r="Y21" s="37">
        <f t="shared" si="26"/>
        <v>0</v>
      </c>
      <c r="Z21" s="99">
        <f t="shared" si="9"/>
        <v>1.2</v>
      </c>
      <c r="AA21" s="20">
        <f t="shared" si="30"/>
        <v>0</v>
      </c>
      <c r="AC21" s="93" t="str">
        <f t="shared" si="11"/>
        <v>Andet</v>
      </c>
      <c r="AD21" s="97">
        <f>+'Produktionsdata input'!G46</f>
        <v>0</v>
      </c>
      <c r="AE21" s="110">
        <f t="shared" si="12"/>
        <v>0.6</v>
      </c>
      <c r="AF21" s="37">
        <f t="shared" si="27"/>
        <v>0</v>
      </c>
      <c r="AG21" s="99">
        <f t="shared" si="13"/>
        <v>1.2</v>
      </c>
      <c r="AH21" s="20">
        <f t="shared" si="31"/>
        <v>0</v>
      </c>
      <c r="AJ21" s="93" t="str">
        <f t="shared" si="15"/>
        <v>Andet</v>
      </c>
      <c r="AK21" s="97">
        <f>+'Produktionsdata input'!H46</f>
        <v>0</v>
      </c>
      <c r="AL21" s="110">
        <f t="shared" si="16"/>
        <v>0.6</v>
      </c>
      <c r="AM21" s="37">
        <f t="shared" si="28"/>
        <v>0</v>
      </c>
      <c r="AN21" s="99">
        <f t="shared" si="17"/>
        <v>1.2</v>
      </c>
      <c r="AO21" s="20">
        <f t="shared" si="32"/>
        <v>0</v>
      </c>
    </row>
    <row r="22" spans="1:41" ht="16.5" thickBot="1" x14ac:dyDescent="0.3">
      <c r="A22" s="39" t="s">
        <v>0</v>
      </c>
      <c r="B22" s="95">
        <f>SUM(B6:B21)</f>
        <v>0</v>
      </c>
      <c r="C22" s="94"/>
      <c r="D22" s="74">
        <f>SUM(D6:D21)</f>
        <v>0</v>
      </c>
      <c r="E22" s="2"/>
      <c r="F22" s="20">
        <f>SUM(F6:F21)</f>
        <v>0</v>
      </c>
      <c r="H22" s="39" t="s">
        <v>0</v>
      </c>
      <c r="I22" s="95">
        <f>SUM(I6:I21)</f>
        <v>0</v>
      </c>
      <c r="J22" s="94"/>
      <c r="K22" s="74">
        <f>SUM(K6:K21)</f>
        <v>0</v>
      </c>
      <c r="L22" s="2"/>
      <c r="M22" s="20">
        <f>SUM(M6:M21)</f>
        <v>0</v>
      </c>
      <c r="O22" s="39" t="s">
        <v>0</v>
      </c>
      <c r="P22" s="95">
        <f>SUM(P6:P21)</f>
        <v>0</v>
      </c>
      <c r="Q22" s="94"/>
      <c r="R22" s="74">
        <f>SUM(R6:R21)</f>
        <v>0</v>
      </c>
      <c r="S22" s="2"/>
      <c r="T22" s="20">
        <f>SUM(T6:T21)</f>
        <v>0</v>
      </c>
      <c r="V22" s="39" t="s">
        <v>0</v>
      </c>
      <c r="W22" s="95">
        <f>SUM(W6:W21)</f>
        <v>0</v>
      </c>
      <c r="X22" s="94"/>
      <c r="Y22" s="74">
        <f>SUM(Y6:Y21)</f>
        <v>0</v>
      </c>
      <c r="Z22" s="2"/>
      <c r="AA22" s="20">
        <f>SUM(AA6:AA21)</f>
        <v>0</v>
      </c>
      <c r="AC22" s="39" t="s">
        <v>0</v>
      </c>
      <c r="AD22" s="95">
        <f>SUM(AD6:AD21)</f>
        <v>0</v>
      </c>
      <c r="AE22" s="94"/>
      <c r="AF22" s="74">
        <f>SUM(AF6:AF21)</f>
        <v>0</v>
      </c>
      <c r="AG22" s="2"/>
      <c r="AH22" s="20">
        <f>SUM(AH6:AH21)</f>
        <v>0</v>
      </c>
      <c r="AJ22" s="39" t="s">
        <v>0</v>
      </c>
      <c r="AK22" s="95">
        <f>SUM(AK6:AK21)</f>
        <v>0</v>
      </c>
      <c r="AL22" s="94"/>
      <c r="AM22" s="74">
        <f>SUM(AM6:AM21)</f>
        <v>0</v>
      </c>
      <c r="AN22" s="2"/>
      <c r="AO22" s="20">
        <f>SUM(AO6:AO21)</f>
        <v>0</v>
      </c>
    </row>
    <row r="23" spans="1:41" ht="16.5" thickBot="1" x14ac:dyDescent="0.3">
      <c r="A23" s="13" t="s">
        <v>189</v>
      </c>
      <c r="B23" s="18"/>
      <c r="C23" s="18"/>
      <c r="D23" s="22"/>
      <c r="E23" s="14"/>
      <c r="F23" s="21">
        <f>+IF(F22=0,0,D22/F22)</f>
        <v>0</v>
      </c>
      <c r="H23" s="13" t="s">
        <v>20</v>
      </c>
      <c r="I23" s="18"/>
      <c r="J23" s="18"/>
      <c r="K23" s="22"/>
      <c r="L23" s="14"/>
      <c r="M23" s="21">
        <f>IF(M22=0,0,K22/M22)</f>
        <v>0</v>
      </c>
      <c r="O23" s="13" t="s">
        <v>20</v>
      </c>
      <c r="P23" s="18"/>
      <c r="Q23" s="18"/>
      <c r="R23" s="22"/>
      <c r="S23" s="14"/>
      <c r="T23" s="21">
        <f>+IF(T22=0,0,R22/T22)</f>
        <v>0</v>
      </c>
      <c r="V23" s="13" t="s">
        <v>20</v>
      </c>
      <c r="W23" s="18"/>
      <c r="X23" s="18"/>
      <c r="Y23" s="22"/>
      <c r="Z23" s="14"/>
      <c r="AA23" s="21">
        <f>IF(AA22=0,0,Y22/AA22)</f>
        <v>0</v>
      </c>
      <c r="AC23" s="13" t="s">
        <v>20</v>
      </c>
      <c r="AD23" s="18"/>
      <c r="AE23" s="18"/>
      <c r="AF23" s="22"/>
      <c r="AG23" s="14"/>
      <c r="AH23" s="21">
        <f>IF(AH22=0,0,AF22/AH22)</f>
        <v>0</v>
      </c>
      <c r="AJ23" s="13" t="s">
        <v>20</v>
      </c>
      <c r="AK23" s="18"/>
      <c r="AL23" s="18"/>
      <c r="AM23" s="22"/>
      <c r="AN23" s="14"/>
      <c r="AO23" s="21">
        <f>IF(AO22=0,0,AM22/AO22)</f>
        <v>0</v>
      </c>
    </row>
    <row r="24" spans="1:41" ht="16.5" thickBot="1" x14ac:dyDescent="0.3"/>
    <row r="25" spans="1:41" ht="63.75" thickBot="1" x14ac:dyDescent="0.3">
      <c r="A25" s="103" t="s">
        <v>9</v>
      </c>
      <c r="B25" s="111" t="s">
        <v>2</v>
      </c>
      <c r="C25" s="112" t="s">
        <v>186</v>
      </c>
      <c r="D25" s="112" t="s">
        <v>187</v>
      </c>
      <c r="E25" s="113" t="s">
        <v>17</v>
      </c>
      <c r="F25" s="114" t="s">
        <v>18</v>
      </c>
      <c r="H25" s="103" t="s">
        <v>9</v>
      </c>
      <c r="I25" s="111" t="s">
        <v>2</v>
      </c>
      <c r="J25" s="112" t="s">
        <v>186</v>
      </c>
      <c r="K25" s="112" t="s">
        <v>187</v>
      </c>
      <c r="L25" s="113" t="s">
        <v>17</v>
      </c>
      <c r="M25" s="114" t="s">
        <v>18</v>
      </c>
      <c r="O25" s="103" t="s">
        <v>9</v>
      </c>
      <c r="P25" s="111" t="s">
        <v>2</v>
      </c>
      <c r="Q25" s="112" t="s">
        <v>186</v>
      </c>
      <c r="R25" s="112" t="s">
        <v>187</v>
      </c>
      <c r="S25" s="113" t="s">
        <v>17</v>
      </c>
      <c r="T25" s="114" t="s">
        <v>18</v>
      </c>
      <c r="V25" s="103" t="s">
        <v>9</v>
      </c>
      <c r="W25" s="111" t="s">
        <v>2</v>
      </c>
      <c r="X25" s="112" t="s">
        <v>186</v>
      </c>
      <c r="Y25" s="112" t="s">
        <v>187</v>
      </c>
      <c r="Z25" s="113" t="s">
        <v>17</v>
      </c>
      <c r="AA25" s="114" t="s">
        <v>18</v>
      </c>
      <c r="AC25" s="103" t="s">
        <v>9</v>
      </c>
      <c r="AD25" s="111" t="s">
        <v>2</v>
      </c>
      <c r="AE25" s="112" t="s">
        <v>186</v>
      </c>
      <c r="AF25" s="112" t="s">
        <v>187</v>
      </c>
      <c r="AG25" s="113" t="s">
        <v>17</v>
      </c>
      <c r="AH25" s="114" t="s">
        <v>18</v>
      </c>
      <c r="AJ25" s="103" t="s">
        <v>9</v>
      </c>
      <c r="AK25" s="121" t="s">
        <v>2</v>
      </c>
      <c r="AL25" s="112" t="s">
        <v>186</v>
      </c>
      <c r="AM25" s="112" t="s">
        <v>187</v>
      </c>
      <c r="AN25" s="113" t="s">
        <v>17</v>
      </c>
      <c r="AO25" s="114" t="s">
        <v>18</v>
      </c>
    </row>
    <row r="26" spans="1:41" x14ac:dyDescent="0.25">
      <c r="A26" s="94" t="str">
        <f>+'Produktionsdata input'!B51</f>
        <v>HVEDE</v>
      </c>
      <c r="B26" s="96">
        <f>+'Produktionsdata input'!C51</f>
        <v>0</v>
      </c>
      <c r="C26" s="109">
        <f t="shared" ref="C26:C41" si="34">+C6</f>
        <v>0.39400000000000002</v>
      </c>
      <c r="D26" s="73">
        <f>+B26*C26</f>
        <v>0</v>
      </c>
      <c r="E26" s="99">
        <f t="shared" ref="E26:E41" si="35">+E6</f>
        <v>1.18</v>
      </c>
      <c r="F26" s="20">
        <f t="shared" ref="F26:F41" si="36">+B26*E26</f>
        <v>0</v>
      </c>
      <c r="H26" s="94" t="str">
        <f t="shared" ref="H26" si="37">+A26</f>
        <v>HVEDE</v>
      </c>
      <c r="I26" s="96">
        <f>+'Produktionsdata input'!D51</f>
        <v>0</v>
      </c>
      <c r="J26" s="109">
        <f t="shared" ref="J26:J41" si="38">+C6</f>
        <v>0.39400000000000002</v>
      </c>
      <c r="K26" s="73">
        <f>+I26*J26</f>
        <v>0</v>
      </c>
      <c r="L26" s="99">
        <f t="shared" ref="L26:L41" si="39">E6</f>
        <v>1.18</v>
      </c>
      <c r="M26" s="20">
        <f t="shared" ref="M26:M41" si="40">+I26*L26</f>
        <v>0</v>
      </c>
      <c r="O26" s="94" t="str">
        <f t="shared" ref="O26:O41" si="41">+A26</f>
        <v>HVEDE</v>
      </c>
      <c r="P26" s="96">
        <f>+'Produktionsdata input'!E51</f>
        <v>0</v>
      </c>
      <c r="Q26" s="109">
        <f t="shared" ref="Q26:Q41" si="42">+C6</f>
        <v>0.39400000000000002</v>
      </c>
      <c r="R26" s="73">
        <f>+P26*Q26</f>
        <v>0</v>
      </c>
      <c r="S26" s="99">
        <f t="shared" ref="S26:S41" si="43">+E6</f>
        <v>1.18</v>
      </c>
      <c r="T26" s="20">
        <f t="shared" ref="T26:T41" si="44">+P26*S26</f>
        <v>0</v>
      </c>
      <c r="V26" s="94" t="str">
        <f t="shared" ref="V26" si="45">+A26</f>
        <v>HVEDE</v>
      </c>
      <c r="W26" s="96">
        <f>+'Produktionsdata input'!F51</f>
        <v>0</v>
      </c>
      <c r="X26" s="109">
        <f t="shared" ref="X26:X41" si="46">+C6</f>
        <v>0.39400000000000002</v>
      </c>
      <c r="Y26" s="73">
        <f>+W26*X26</f>
        <v>0</v>
      </c>
      <c r="Z26" s="99">
        <f t="shared" ref="Z26:Z41" si="47">+E6</f>
        <v>1.18</v>
      </c>
      <c r="AA26" s="20">
        <f t="shared" ref="AA26:AA41" si="48">+W26*Z26</f>
        <v>0</v>
      </c>
      <c r="AC26" s="94" t="str">
        <f t="shared" ref="AC26:AC35" si="49">+A26</f>
        <v>HVEDE</v>
      </c>
      <c r="AD26" s="96">
        <f>+'Produktionsdata input'!G51</f>
        <v>0</v>
      </c>
      <c r="AE26" s="109">
        <f t="shared" ref="AE26:AE41" si="50">+C6</f>
        <v>0.39400000000000002</v>
      </c>
      <c r="AF26" s="73">
        <f>+AD26*AE26</f>
        <v>0</v>
      </c>
      <c r="AG26" s="99">
        <f t="shared" ref="AG26:AG41" si="51">+E6</f>
        <v>1.18</v>
      </c>
      <c r="AH26" s="20">
        <f t="shared" ref="AH26:AH41" si="52">+AD26*AG26</f>
        <v>0</v>
      </c>
      <c r="AJ26" s="94" t="str">
        <f>+A26</f>
        <v>HVEDE</v>
      </c>
      <c r="AK26" s="15">
        <f>+'Produktionsdata input'!H51</f>
        <v>0</v>
      </c>
      <c r="AL26" s="109">
        <f t="shared" ref="AL26:AL41" si="53">+C6</f>
        <v>0.39400000000000002</v>
      </c>
      <c r="AM26" s="73">
        <f>+AK26*AL26</f>
        <v>0</v>
      </c>
      <c r="AN26" s="99">
        <f t="shared" ref="AN26:AN41" si="54">+E6</f>
        <v>1.18</v>
      </c>
      <c r="AO26" s="20">
        <f t="shared" ref="AO26:AO41" si="55">+AK26*AN26</f>
        <v>0</v>
      </c>
    </row>
    <row r="27" spans="1:41" x14ac:dyDescent="0.25">
      <c r="A27" s="93" t="str">
        <f>+'Produktionsdata input'!B52</f>
        <v>BYG,  vår/vinter</v>
      </c>
      <c r="B27" s="97">
        <f>+'Produktionsdata input'!C52</f>
        <v>0</v>
      </c>
      <c r="C27" s="110">
        <f t="shared" si="34"/>
        <v>0.36199999999999999</v>
      </c>
      <c r="D27" s="37">
        <f t="shared" ref="D27:D41" si="56">+B27*C27</f>
        <v>0</v>
      </c>
      <c r="E27" s="99">
        <f t="shared" si="35"/>
        <v>1.06</v>
      </c>
      <c r="F27" s="20">
        <f t="shared" si="36"/>
        <v>0</v>
      </c>
      <c r="H27" s="93" t="str">
        <f t="shared" ref="H27:H41" si="57">+A27</f>
        <v>BYG,  vår/vinter</v>
      </c>
      <c r="I27" s="97">
        <f>+'Produktionsdata input'!D52</f>
        <v>0</v>
      </c>
      <c r="J27" s="110">
        <f t="shared" si="38"/>
        <v>0.36199999999999999</v>
      </c>
      <c r="K27" s="37">
        <f t="shared" ref="K27:K41" si="58">+I27*J27</f>
        <v>0</v>
      </c>
      <c r="L27" s="99">
        <f t="shared" si="39"/>
        <v>1.06</v>
      </c>
      <c r="M27" s="20">
        <f t="shared" si="40"/>
        <v>0</v>
      </c>
      <c r="O27" s="93" t="str">
        <f t="shared" si="41"/>
        <v>BYG,  vår/vinter</v>
      </c>
      <c r="P27" s="97">
        <f>+'Produktionsdata input'!E52</f>
        <v>0</v>
      </c>
      <c r="Q27" s="110">
        <f t="shared" si="42"/>
        <v>0.36199999999999999</v>
      </c>
      <c r="R27" s="37">
        <f t="shared" ref="R27:R41" si="59">+P27*Q27</f>
        <v>0</v>
      </c>
      <c r="S27" s="99">
        <f t="shared" si="43"/>
        <v>1.06</v>
      </c>
      <c r="T27" s="20">
        <f t="shared" si="44"/>
        <v>0</v>
      </c>
      <c r="V27" s="93" t="str">
        <f t="shared" ref="V27:V41" si="60">+A27</f>
        <v>BYG,  vår/vinter</v>
      </c>
      <c r="W27" s="97">
        <f>+'Produktionsdata input'!F52</f>
        <v>0</v>
      </c>
      <c r="X27" s="110">
        <f t="shared" si="46"/>
        <v>0.36199999999999999</v>
      </c>
      <c r="Y27" s="37">
        <f t="shared" ref="Y27:Y41" si="61">+W27*X27</f>
        <v>0</v>
      </c>
      <c r="Z27" s="99">
        <f t="shared" si="47"/>
        <v>1.06</v>
      </c>
      <c r="AA27" s="20">
        <f t="shared" si="48"/>
        <v>0</v>
      </c>
      <c r="AC27" s="93" t="str">
        <f t="shared" si="49"/>
        <v>BYG,  vår/vinter</v>
      </c>
      <c r="AD27" s="97">
        <f>+'Produktionsdata input'!G52</f>
        <v>0</v>
      </c>
      <c r="AE27" s="110">
        <f t="shared" si="50"/>
        <v>0.36199999999999999</v>
      </c>
      <c r="AF27" s="37">
        <f t="shared" ref="AF27:AF41" si="62">+AD27*AE27</f>
        <v>0</v>
      </c>
      <c r="AG27" s="99">
        <f t="shared" si="51"/>
        <v>1.06</v>
      </c>
      <c r="AH27" s="20">
        <f t="shared" si="52"/>
        <v>0</v>
      </c>
      <c r="AJ27" s="93" t="str">
        <f t="shared" ref="AJ27:AJ41" si="63">+A27</f>
        <v>BYG,  vår/vinter</v>
      </c>
      <c r="AK27" s="15">
        <f>+'Produktionsdata input'!H52</f>
        <v>0</v>
      </c>
      <c r="AL27" s="110">
        <f t="shared" si="53"/>
        <v>0.36199999999999999</v>
      </c>
      <c r="AM27" s="37">
        <f t="shared" ref="AM27:AM41" si="64">+AK27*AL27</f>
        <v>0</v>
      </c>
      <c r="AN27" s="99">
        <f t="shared" si="54"/>
        <v>1.06</v>
      </c>
      <c r="AO27" s="20">
        <f t="shared" si="55"/>
        <v>0</v>
      </c>
    </row>
    <row r="28" spans="1:41" x14ac:dyDescent="0.25">
      <c r="A28" s="93" t="str">
        <f>+'Produktionsdata input'!B53</f>
        <v>Rug/tritikale</v>
      </c>
      <c r="B28" s="97">
        <f>+'Produktionsdata input'!C53</f>
        <v>0</v>
      </c>
      <c r="C28" s="110">
        <f t="shared" si="34"/>
        <v>0.36299999999999999</v>
      </c>
      <c r="D28" s="37">
        <f t="shared" si="56"/>
        <v>0</v>
      </c>
      <c r="E28" s="99">
        <f t="shared" si="35"/>
        <v>1.1299999999999999</v>
      </c>
      <c r="F28" s="20">
        <f t="shared" si="36"/>
        <v>0</v>
      </c>
      <c r="H28" s="93" t="str">
        <f t="shared" si="57"/>
        <v>Rug/tritikale</v>
      </c>
      <c r="I28" s="97">
        <f>+'Produktionsdata input'!D53</f>
        <v>0</v>
      </c>
      <c r="J28" s="110">
        <f t="shared" si="38"/>
        <v>0.36299999999999999</v>
      </c>
      <c r="K28" s="37">
        <f t="shared" si="58"/>
        <v>0</v>
      </c>
      <c r="L28" s="99">
        <f t="shared" si="39"/>
        <v>1.1299999999999999</v>
      </c>
      <c r="M28" s="20">
        <f t="shared" si="40"/>
        <v>0</v>
      </c>
      <c r="O28" s="93" t="str">
        <f t="shared" si="41"/>
        <v>Rug/tritikale</v>
      </c>
      <c r="P28" s="97">
        <f>+'Produktionsdata input'!E53</f>
        <v>0</v>
      </c>
      <c r="Q28" s="110">
        <f t="shared" si="42"/>
        <v>0.36299999999999999</v>
      </c>
      <c r="R28" s="37">
        <f t="shared" si="59"/>
        <v>0</v>
      </c>
      <c r="S28" s="99">
        <f t="shared" si="43"/>
        <v>1.1299999999999999</v>
      </c>
      <c r="T28" s="20">
        <f t="shared" si="44"/>
        <v>0</v>
      </c>
      <c r="V28" s="93" t="str">
        <f t="shared" si="60"/>
        <v>Rug/tritikale</v>
      </c>
      <c r="W28" s="97">
        <f>+'Produktionsdata input'!F53</f>
        <v>0</v>
      </c>
      <c r="X28" s="110">
        <f t="shared" si="46"/>
        <v>0.36299999999999999</v>
      </c>
      <c r="Y28" s="37">
        <f t="shared" si="61"/>
        <v>0</v>
      </c>
      <c r="Z28" s="99">
        <f t="shared" si="47"/>
        <v>1.1299999999999999</v>
      </c>
      <c r="AA28" s="20">
        <f t="shared" si="48"/>
        <v>0</v>
      </c>
      <c r="AC28" s="93" t="str">
        <f t="shared" si="49"/>
        <v>Rug/tritikale</v>
      </c>
      <c r="AD28" s="97">
        <f>+'Produktionsdata input'!G53</f>
        <v>0</v>
      </c>
      <c r="AE28" s="110">
        <f t="shared" si="50"/>
        <v>0.36299999999999999</v>
      </c>
      <c r="AF28" s="37">
        <f t="shared" si="62"/>
        <v>0</v>
      </c>
      <c r="AG28" s="99">
        <f t="shared" si="51"/>
        <v>1.1299999999999999</v>
      </c>
      <c r="AH28" s="20">
        <f t="shared" si="52"/>
        <v>0</v>
      </c>
      <c r="AJ28" s="93" t="str">
        <f t="shared" si="63"/>
        <v>Rug/tritikale</v>
      </c>
      <c r="AK28" s="15">
        <f>+'Produktionsdata input'!H53</f>
        <v>0</v>
      </c>
      <c r="AL28" s="110">
        <f t="shared" si="53"/>
        <v>0.36299999999999999</v>
      </c>
      <c r="AM28" s="37">
        <f t="shared" si="64"/>
        <v>0</v>
      </c>
      <c r="AN28" s="99">
        <f t="shared" si="54"/>
        <v>1.1299999999999999</v>
      </c>
      <c r="AO28" s="20">
        <f t="shared" si="55"/>
        <v>0</v>
      </c>
    </row>
    <row r="29" spans="1:41" x14ac:dyDescent="0.25">
      <c r="A29" s="93" t="str">
        <f>+'Produktionsdata input'!B54</f>
        <v>Valle, gns af alle valletyper</v>
      </c>
      <c r="B29" s="97">
        <f>+'Produktionsdata input'!C54</f>
        <v>0</v>
      </c>
      <c r="C29" s="110">
        <f t="shared" si="34"/>
        <v>2.5999999999999999E-2</v>
      </c>
      <c r="D29" s="37">
        <f t="shared" si="56"/>
        <v>0</v>
      </c>
      <c r="E29" s="99">
        <f t="shared" si="35"/>
        <v>0.06</v>
      </c>
      <c r="F29" s="20">
        <f t="shared" si="36"/>
        <v>0</v>
      </c>
      <c r="H29" s="93" t="str">
        <f t="shared" si="57"/>
        <v>Valle, gns af alle valletyper</v>
      </c>
      <c r="I29" s="97">
        <f>+'Produktionsdata input'!D54</f>
        <v>0</v>
      </c>
      <c r="J29" s="110">
        <f t="shared" si="38"/>
        <v>2.5999999999999999E-2</v>
      </c>
      <c r="K29" s="37">
        <f t="shared" si="58"/>
        <v>0</v>
      </c>
      <c r="L29" s="99">
        <f t="shared" si="39"/>
        <v>0.06</v>
      </c>
      <c r="M29" s="20">
        <f t="shared" si="40"/>
        <v>0</v>
      </c>
      <c r="O29" s="93" t="str">
        <f t="shared" si="41"/>
        <v>Valle, gns af alle valletyper</v>
      </c>
      <c r="P29" s="97">
        <f>+'Produktionsdata input'!E54</f>
        <v>0</v>
      </c>
      <c r="Q29" s="110">
        <f t="shared" si="42"/>
        <v>2.5999999999999999E-2</v>
      </c>
      <c r="R29" s="37">
        <f t="shared" si="59"/>
        <v>0</v>
      </c>
      <c r="S29" s="99">
        <f t="shared" si="43"/>
        <v>0.06</v>
      </c>
      <c r="T29" s="20">
        <f t="shared" si="44"/>
        <v>0</v>
      </c>
      <c r="V29" s="93" t="str">
        <f t="shared" si="60"/>
        <v>Valle, gns af alle valletyper</v>
      </c>
      <c r="W29" s="97">
        <f>+'Produktionsdata input'!F54</f>
        <v>0</v>
      </c>
      <c r="X29" s="110">
        <f t="shared" si="46"/>
        <v>2.5999999999999999E-2</v>
      </c>
      <c r="Y29" s="37">
        <f t="shared" si="61"/>
        <v>0</v>
      </c>
      <c r="Z29" s="99">
        <f t="shared" si="47"/>
        <v>0.06</v>
      </c>
      <c r="AA29" s="20">
        <f t="shared" si="48"/>
        <v>0</v>
      </c>
      <c r="AC29" s="93" t="str">
        <f t="shared" si="49"/>
        <v>Valle, gns af alle valletyper</v>
      </c>
      <c r="AD29" s="97">
        <f>+'Produktionsdata input'!G54</f>
        <v>0</v>
      </c>
      <c r="AE29" s="110">
        <f t="shared" si="50"/>
        <v>2.5999999999999999E-2</v>
      </c>
      <c r="AF29" s="37">
        <f t="shared" si="62"/>
        <v>0</v>
      </c>
      <c r="AG29" s="99">
        <f t="shared" si="51"/>
        <v>0.06</v>
      </c>
      <c r="AH29" s="20">
        <f t="shared" si="52"/>
        <v>0</v>
      </c>
      <c r="AJ29" s="93" t="str">
        <f t="shared" si="63"/>
        <v>Valle, gns af alle valletyper</v>
      </c>
      <c r="AK29" s="15">
        <f>+'Produktionsdata input'!H54</f>
        <v>0</v>
      </c>
      <c r="AL29" s="110">
        <f t="shared" si="53"/>
        <v>2.5999999999999999E-2</v>
      </c>
      <c r="AM29" s="37">
        <f t="shared" si="64"/>
        <v>0</v>
      </c>
      <c r="AN29" s="99">
        <f t="shared" si="54"/>
        <v>0.06</v>
      </c>
      <c r="AO29" s="20">
        <f t="shared" si="55"/>
        <v>0</v>
      </c>
    </row>
    <row r="30" spans="1:41" x14ac:dyDescent="0.25">
      <c r="A30" s="93" t="str">
        <f>+'Produktionsdata input'!B55</f>
        <v>SOJASKRÅFODER,  afskallet toastet</v>
      </c>
      <c r="B30" s="97">
        <f>+'Produktionsdata input'!C55</f>
        <v>0</v>
      </c>
      <c r="C30" s="110">
        <f t="shared" si="34"/>
        <v>0.999</v>
      </c>
      <c r="D30" s="37">
        <f t="shared" si="56"/>
        <v>0</v>
      </c>
      <c r="E30" s="99">
        <f t="shared" si="35"/>
        <v>0.94</v>
      </c>
      <c r="F30" s="20">
        <f t="shared" si="36"/>
        <v>0</v>
      </c>
      <c r="H30" s="93" t="str">
        <f t="shared" si="57"/>
        <v>SOJASKRÅFODER,  afskallet toastet</v>
      </c>
      <c r="I30" s="97">
        <f>+'Produktionsdata input'!D55</f>
        <v>0</v>
      </c>
      <c r="J30" s="110">
        <f t="shared" si="38"/>
        <v>0.999</v>
      </c>
      <c r="K30" s="37">
        <f t="shared" si="58"/>
        <v>0</v>
      </c>
      <c r="L30" s="99">
        <f t="shared" si="39"/>
        <v>0.94</v>
      </c>
      <c r="M30" s="20">
        <f t="shared" si="40"/>
        <v>0</v>
      </c>
      <c r="O30" s="93" t="str">
        <f t="shared" si="41"/>
        <v>SOJASKRÅFODER,  afskallet toastet</v>
      </c>
      <c r="P30" s="97">
        <f>+'Produktionsdata input'!E55</f>
        <v>0</v>
      </c>
      <c r="Q30" s="110">
        <f t="shared" si="42"/>
        <v>0.999</v>
      </c>
      <c r="R30" s="37">
        <f t="shared" si="59"/>
        <v>0</v>
      </c>
      <c r="S30" s="99">
        <f t="shared" si="43"/>
        <v>0.94</v>
      </c>
      <c r="T30" s="20">
        <f t="shared" si="44"/>
        <v>0</v>
      </c>
      <c r="V30" s="93" t="str">
        <f t="shared" si="60"/>
        <v>SOJASKRÅFODER,  afskallet toastet</v>
      </c>
      <c r="W30" s="97">
        <f>+'Produktionsdata input'!F55</f>
        <v>0</v>
      </c>
      <c r="X30" s="110">
        <f t="shared" si="46"/>
        <v>0.999</v>
      </c>
      <c r="Y30" s="37">
        <f t="shared" si="61"/>
        <v>0</v>
      </c>
      <c r="Z30" s="99">
        <f t="shared" si="47"/>
        <v>0.94</v>
      </c>
      <c r="AA30" s="20">
        <f t="shared" si="48"/>
        <v>0</v>
      </c>
      <c r="AC30" s="93" t="str">
        <f t="shared" si="49"/>
        <v>SOJASKRÅFODER,  afskallet toastet</v>
      </c>
      <c r="AD30" s="97">
        <f>+'Produktionsdata input'!G55</f>
        <v>0</v>
      </c>
      <c r="AE30" s="110">
        <f t="shared" si="50"/>
        <v>0.999</v>
      </c>
      <c r="AF30" s="37">
        <f t="shared" si="62"/>
        <v>0</v>
      </c>
      <c r="AG30" s="99">
        <f t="shared" si="51"/>
        <v>0.94</v>
      </c>
      <c r="AH30" s="20">
        <f t="shared" si="52"/>
        <v>0</v>
      </c>
      <c r="AJ30" s="93" t="str">
        <f t="shared" si="63"/>
        <v>SOJASKRÅFODER,  afskallet toastet</v>
      </c>
      <c r="AK30" s="15">
        <f>+'Produktionsdata input'!H55</f>
        <v>0</v>
      </c>
      <c r="AL30" s="110">
        <f t="shared" si="53"/>
        <v>0.999</v>
      </c>
      <c r="AM30" s="37">
        <f t="shared" si="64"/>
        <v>0</v>
      </c>
      <c r="AN30" s="99">
        <f t="shared" si="54"/>
        <v>0.94</v>
      </c>
      <c r="AO30" s="20">
        <f t="shared" si="55"/>
        <v>0</v>
      </c>
    </row>
    <row r="31" spans="1:41" x14ac:dyDescent="0.25">
      <c r="A31" s="93" t="str">
        <f>+'Produktionsdata input'!B56</f>
        <v>RAPSSKRÅFODER,  lavt glukosinolatindhold</v>
      </c>
      <c r="B31" s="97">
        <f>+'Produktionsdata input'!C56</f>
        <v>0</v>
      </c>
      <c r="C31" s="110">
        <f t="shared" si="34"/>
        <v>0.46700000000000003</v>
      </c>
      <c r="D31" s="37">
        <f t="shared" si="56"/>
        <v>0</v>
      </c>
      <c r="E31" s="99">
        <f t="shared" si="35"/>
        <v>0.74</v>
      </c>
      <c r="F31" s="20">
        <f t="shared" si="36"/>
        <v>0</v>
      </c>
      <c r="H31" s="93" t="str">
        <f t="shared" si="57"/>
        <v>RAPSSKRÅFODER,  lavt glukosinolatindhold</v>
      </c>
      <c r="I31" s="97">
        <f>+'Produktionsdata input'!D56</f>
        <v>0</v>
      </c>
      <c r="J31" s="110">
        <f t="shared" si="38"/>
        <v>0.46700000000000003</v>
      </c>
      <c r="K31" s="37">
        <f t="shared" si="58"/>
        <v>0</v>
      </c>
      <c r="L31" s="99">
        <f t="shared" si="39"/>
        <v>0.74</v>
      </c>
      <c r="M31" s="20">
        <f t="shared" si="40"/>
        <v>0</v>
      </c>
      <c r="O31" s="93" t="str">
        <f t="shared" si="41"/>
        <v>RAPSSKRÅFODER,  lavt glukosinolatindhold</v>
      </c>
      <c r="P31" s="97">
        <f>+'Produktionsdata input'!E56</f>
        <v>0</v>
      </c>
      <c r="Q31" s="110">
        <f t="shared" si="42"/>
        <v>0.46700000000000003</v>
      </c>
      <c r="R31" s="37">
        <f t="shared" si="59"/>
        <v>0</v>
      </c>
      <c r="S31" s="99">
        <f t="shared" si="43"/>
        <v>0.74</v>
      </c>
      <c r="T31" s="20">
        <f t="shared" si="44"/>
        <v>0</v>
      </c>
      <c r="V31" s="93" t="str">
        <f t="shared" si="60"/>
        <v>RAPSSKRÅFODER,  lavt glukosinolatindhold</v>
      </c>
      <c r="W31" s="97">
        <f>+'Produktionsdata input'!F56</f>
        <v>0</v>
      </c>
      <c r="X31" s="110">
        <f t="shared" si="46"/>
        <v>0.46700000000000003</v>
      </c>
      <c r="Y31" s="37">
        <f t="shared" si="61"/>
        <v>0</v>
      </c>
      <c r="Z31" s="99">
        <f t="shared" si="47"/>
        <v>0.74</v>
      </c>
      <c r="AA31" s="20">
        <f t="shared" si="48"/>
        <v>0</v>
      </c>
      <c r="AC31" s="93" t="str">
        <f t="shared" si="49"/>
        <v>RAPSSKRÅFODER,  lavt glukosinolatindhold</v>
      </c>
      <c r="AD31" s="97">
        <f>+'Produktionsdata input'!G56</f>
        <v>0</v>
      </c>
      <c r="AE31" s="110">
        <f t="shared" si="50"/>
        <v>0.46700000000000003</v>
      </c>
      <c r="AF31" s="37">
        <f t="shared" si="62"/>
        <v>0</v>
      </c>
      <c r="AG31" s="99">
        <f t="shared" si="51"/>
        <v>0.74</v>
      </c>
      <c r="AH31" s="20">
        <f t="shared" si="52"/>
        <v>0</v>
      </c>
      <c r="AJ31" s="93" t="str">
        <f t="shared" si="63"/>
        <v>RAPSSKRÅFODER,  lavt glukosinolatindhold</v>
      </c>
      <c r="AK31" s="15">
        <f>+'Produktionsdata input'!H56</f>
        <v>0</v>
      </c>
      <c r="AL31" s="110">
        <f t="shared" si="53"/>
        <v>0.46700000000000003</v>
      </c>
      <c r="AM31" s="37">
        <f t="shared" si="64"/>
        <v>0</v>
      </c>
      <c r="AN31" s="99">
        <f t="shared" si="54"/>
        <v>0.74</v>
      </c>
      <c r="AO31" s="20">
        <f t="shared" si="55"/>
        <v>0</v>
      </c>
    </row>
    <row r="32" spans="1:41" x14ac:dyDescent="0.25">
      <c r="A32" s="93" t="str">
        <f>+'Produktionsdata input'!B57</f>
        <v>SOLSIKKESKRÅFODER,  afskallet</v>
      </c>
      <c r="B32" s="97">
        <f>+'Produktionsdata input'!C57</f>
        <v>0</v>
      </c>
      <c r="C32" s="110">
        <f t="shared" si="34"/>
        <v>0.92100000000000004</v>
      </c>
      <c r="D32" s="37">
        <f t="shared" si="56"/>
        <v>0</v>
      </c>
      <c r="E32" s="99">
        <f t="shared" si="35"/>
        <v>0.65</v>
      </c>
      <c r="F32" s="20">
        <f t="shared" si="36"/>
        <v>0</v>
      </c>
      <c r="H32" s="93" t="str">
        <f t="shared" si="57"/>
        <v>SOLSIKKESKRÅFODER,  afskallet</v>
      </c>
      <c r="I32" s="97">
        <f>+'Produktionsdata input'!D57</f>
        <v>0</v>
      </c>
      <c r="J32" s="110">
        <f t="shared" si="38"/>
        <v>0.92100000000000004</v>
      </c>
      <c r="K32" s="37">
        <f t="shared" si="58"/>
        <v>0</v>
      </c>
      <c r="L32" s="99">
        <f t="shared" si="39"/>
        <v>0.65</v>
      </c>
      <c r="M32" s="20">
        <f t="shared" si="40"/>
        <v>0</v>
      </c>
      <c r="O32" s="93" t="str">
        <f t="shared" si="41"/>
        <v>SOLSIKKESKRÅFODER,  afskallet</v>
      </c>
      <c r="P32" s="97">
        <f>+'Produktionsdata input'!E57</f>
        <v>0</v>
      </c>
      <c r="Q32" s="110">
        <f t="shared" si="42"/>
        <v>0.92100000000000004</v>
      </c>
      <c r="R32" s="37">
        <f t="shared" si="59"/>
        <v>0</v>
      </c>
      <c r="S32" s="99">
        <f t="shared" si="43"/>
        <v>0.65</v>
      </c>
      <c r="T32" s="20">
        <f t="shared" si="44"/>
        <v>0</v>
      </c>
      <c r="V32" s="93" t="str">
        <f t="shared" si="60"/>
        <v>SOLSIKKESKRÅFODER,  afskallet</v>
      </c>
      <c r="W32" s="97">
        <f>+'Produktionsdata input'!F57</f>
        <v>0</v>
      </c>
      <c r="X32" s="110">
        <f t="shared" si="46"/>
        <v>0.92100000000000004</v>
      </c>
      <c r="Y32" s="37">
        <f t="shared" si="61"/>
        <v>0</v>
      </c>
      <c r="Z32" s="99">
        <f t="shared" si="47"/>
        <v>0.65</v>
      </c>
      <c r="AA32" s="20">
        <f t="shared" si="48"/>
        <v>0</v>
      </c>
      <c r="AC32" s="93" t="str">
        <f t="shared" si="49"/>
        <v>SOLSIKKESKRÅFODER,  afskallet</v>
      </c>
      <c r="AD32" s="97">
        <f>+'Produktionsdata input'!G57</f>
        <v>0</v>
      </c>
      <c r="AE32" s="110">
        <f t="shared" si="50"/>
        <v>0.92100000000000004</v>
      </c>
      <c r="AF32" s="37">
        <f t="shared" si="62"/>
        <v>0</v>
      </c>
      <c r="AG32" s="99">
        <f t="shared" si="51"/>
        <v>0.65</v>
      </c>
      <c r="AH32" s="20">
        <f t="shared" si="52"/>
        <v>0</v>
      </c>
      <c r="AJ32" s="93" t="str">
        <f t="shared" si="63"/>
        <v>SOLSIKKESKRÅFODER,  afskallet</v>
      </c>
      <c r="AK32" s="15">
        <f>+'Produktionsdata input'!H57</f>
        <v>0</v>
      </c>
      <c r="AL32" s="110">
        <f t="shared" si="53"/>
        <v>0.92100000000000004</v>
      </c>
      <c r="AM32" s="37">
        <f t="shared" si="64"/>
        <v>0</v>
      </c>
      <c r="AN32" s="99">
        <f t="shared" si="54"/>
        <v>0.65</v>
      </c>
      <c r="AO32" s="20">
        <f t="shared" si="55"/>
        <v>0</v>
      </c>
    </row>
    <row r="33" spans="1:41" x14ac:dyDescent="0.25">
      <c r="A33" s="93" t="str">
        <f>+'Produktionsdata input'!B58</f>
        <v>Hestebønner</v>
      </c>
      <c r="B33" s="97">
        <f>+'Produktionsdata input'!C58</f>
        <v>0</v>
      </c>
      <c r="C33" s="110">
        <f t="shared" si="34"/>
        <v>0.33</v>
      </c>
      <c r="D33" s="37">
        <f t="shared" si="56"/>
        <v>0</v>
      </c>
      <c r="E33" s="99">
        <f t="shared" si="35"/>
        <v>0.85</v>
      </c>
      <c r="F33" s="20">
        <f t="shared" si="36"/>
        <v>0</v>
      </c>
      <c r="H33" s="93" t="str">
        <f t="shared" si="57"/>
        <v>Hestebønner</v>
      </c>
      <c r="I33" s="97">
        <f>+'Produktionsdata input'!D58</f>
        <v>0</v>
      </c>
      <c r="J33" s="110">
        <f t="shared" si="38"/>
        <v>0.33</v>
      </c>
      <c r="K33" s="37">
        <f t="shared" si="58"/>
        <v>0</v>
      </c>
      <c r="L33" s="99">
        <f t="shared" si="39"/>
        <v>0.85</v>
      </c>
      <c r="M33" s="20">
        <f t="shared" si="40"/>
        <v>0</v>
      </c>
      <c r="O33" s="93" t="str">
        <f t="shared" si="41"/>
        <v>Hestebønner</v>
      </c>
      <c r="P33" s="97">
        <f>+'Produktionsdata input'!E58</f>
        <v>0</v>
      </c>
      <c r="Q33" s="110">
        <f t="shared" si="42"/>
        <v>0.33</v>
      </c>
      <c r="R33" s="37">
        <f t="shared" si="59"/>
        <v>0</v>
      </c>
      <c r="S33" s="99">
        <f t="shared" si="43"/>
        <v>0.85</v>
      </c>
      <c r="T33" s="20">
        <f t="shared" si="44"/>
        <v>0</v>
      </c>
      <c r="V33" s="93" t="str">
        <f t="shared" si="60"/>
        <v>Hestebønner</v>
      </c>
      <c r="W33" s="97">
        <f>+'Produktionsdata input'!F58</f>
        <v>0</v>
      </c>
      <c r="X33" s="110">
        <f t="shared" si="46"/>
        <v>0.33</v>
      </c>
      <c r="Y33" s="37">
        <f t="shared" si="61"/>
        <v>0</v>
      </c>
      <c r="Z33" s="99">
        <f t="shared" si="47"/>
        <v>0.85</v>
      </c>
      <c r="AA33" s="20">
        <f t="shared" si="48"/>
        <v>0</v>
      </c>
      <c r="AC33" s="93" t="str">
        <f t="shared" si="49"/>
        <v>Hestebønner</v>
      </c>
      <c r="AD33" s="97">
        <f>+'Produktionsdata input'!G58</f>
        <v>0</v>
      </c>
      <c r="AE33" s="110">
        <f t="shared" si="50"/>
        <v>0.33</v>
      </c>
      <c r="AF33" s="37">
        <f t="shared" si="62"/>
        <v>0</v>
      </c>
      <c r="AG33" s="99">
        <f t="shared" si="51"/>
        <v>0.85</v>
      </c>
      <c r="AH33" s="20">
        <f t="shared" si="52"/>
        <v>0</v>
      </c>
      <c r="AJ33" s="93" t="str">
        <f t="shared" si="63"/>
        <v>Hestebønner</v>
      </c>
      <c r="AK33" s="15">
        <f>+'Produktionsdata input'!H58</f>
        <v>0</v>
      </c>
      <c r="AL33" s="110">
        <f t="shared" si="53"/>
        <v>0.33</v>
      </c>
      <c r="AM33" s="37">
        <f t="shared" si="64"/>
        <v>0</v>
      </c>
      <c r="AN33" s="99">
        <f t="shared" si="54"/>
        <v>0.85</v>
      </c>
      <c r="AO33" s="20">
        <f t="shared" si="55"/>
        <v>0</v>
      </c>
    </row>
    <row r="34" spans="1:41" x14ac:dyDescent="0.25">
      <c r="A34" s="93" t="str">
        <f>+'Produktionsdata input'!B59</f>
        <v>HVEDEKLID</v>
      </c>
      <c r="B34" s="97">
        <f>+'Produktionsdata input'!C59</f>
        <v>0</v>
      </c>
      <c r="C34" s="110">
        <f t="shared" si="34"/>
        <v>0.36599999999999999</v>
      </c>
      <c r="D34" s="37">
        <f t="shared" si="56"/>
        <v>0</v>
      </c>
      <c r="E34" s="99">
        <f t="shared" si="35"/>
        <v>0.62</v>
      </c>
      <c r="F34" s="20">
        <f t="shared" si="36"/>
        <v>0</v>
      </c>
      <c r="H34" s="93" t="str">
        <f t="shared" si="57"/>
        <v>HVEDEKLID</v>
      </c>
      <c r="I34" s="97">
        <f>+'Produktionsdata input'!D59</f>
        <v>0</v>
      </c>
      <c r="J34" s="110">
        <f t="shared" si="38"/>
        <v>0.36599999999999999</v>
      </c>
      <c r="K34" s="37">
        <f t="shared" si="58"/>
        <v>0</v>
      </c>
      <c r="L34" s="99">
        <f t="shared" si="39"/>
        <v>0.62</v>
      </c>
      <c r="M34" s="20">
        <f t="shared" si="40"/>
        <v>0</v>
      </c>
      <c r="O34" s="93" t="str">
        <f t="shared" si="41"/>
        <v>HVEDEKLID</v>
      </c>
      <c r="P34" s="97">
        <f>+'Produktionsdata input'!E59</f>
        <v>0</v>
      </c>
      <c r="Q34" s="110">
        <f t="shared" si="42"/>
        <v>0.36599999999999999</v>
      </c>
      <c r="R34" s="37">
        <f t="shared" si="59"/>
        <v>0</v>
      </c>
      <c r="S34" s="99">
        <f t="shared" si="43"/>
        <v>0.62</v>
      </c>
      <c r="T34" s="20">
        <f t="shared" si="44"/>
        <v>0</v>
      </c>
      <c r="V34" s="93" t="str">
        <f t="shared" si="60"/>
        <v>HVEDEKLID</v>
      </c>
      <c r="W34" s="97">
        <f>+'Produktionsdata input'!F59</f>
        <v>0</v>
      </c>
      <c r="X34" s="110">
        <f t="shared" si="46"/>
        <v>0.36599999999999999</v>
      </c>
      <c r="Y34" s="37">
        <f t="shared" si="61"/>
        <v>0</v>
      </c>
      <c r="Z34" s="99">
        <f t="shared" si="47"/>
        <v>0.62</v>
      </c>
      <c r="AA34" s="20">
        <f t="shared" si="48"/>
        <v>0</v>
      </c>
      <c r="AC34" s="93" t="str">
        <f t="shared" si="49"/>
        <v>HVEDEKLID</v>
      </c>
      <c r="AD34" s="97">
        <f>+'Produktionsdata input'!G59</f>
        <v>0</v>
      </c>
      <c r="AE34" s="110">
        <f t="shared" si="50"/>
        <v>0.36599999999999999</v>
      </c>
      <c r="AF34" s="37">
        <f t="shared" si="62"/>
        <v>0</v>
      </c>
      <c r="AG34" s="99">
        <f t="shared" si="51"/>
        <v>0.62</v>
      </c>
      <c r="AH34" s="20">
        <f t="shared" si="52"/>
        <v>0</v>
      </c>
      <c r="AJ34" s="93" t="str">
        <f t="shared" si="63"/>
        <v>HVEDEKLID</v>
      </c>
      <c r="AK34" s="15">
        <f>+'Produktionsdata input'!H59</f>
        <v>0</v>
      </c>
      <c r="AL34" s="110">
        <f t="shared" si="53"/>
        <v>0.36599999999999999</v>
      </c>
      <c r="AM34" s="37">
        <f t="shared" si="64"/>
        <v>0</v>
      </c>
      <c r="AN34" s="99">
        <f t="shared" si="54"/>
        <v>0.62</v>
      </c>
      <c r="AO34" s="20">
        <f t="shared" si="55"/>
        <v>0</v>
      </c>
    </row>
    <row r="35" spans="1:41" x14ac:dyDescent="0.25">
      <c r="A35" s="93" t="str">
        <f>+'Produktionsdata input'!B60</f>
        <v>VEGETABILSK OLIE OG FEDTSTOF, Palme</v>
      </c>
      <c r="B35" s="97">
        <f>+'Produktionsdata input'!C60</f>
        <v>0</v>
      </c>
      <c r="C35" s="110">
        <f t="shared" si="34"/>
        <v>6.2320000000000002</v>
      </c>
      <c r="D35" s="37">
        <f t="shared" si="56"/>
        <v>0</v>
      </c>
      <c r="E35" s="99">
        <f t="shared" si="35"/>
        <v>3.81</v>
      </c>
      <c r="F35" s="20">
        <f t="shared" si="36"/>
        <v>0</v>
      </c>
      <c r="H35" s="93" t="str">
        <f t="shared" si="57"/>
        <v>VEGETABILSK OLIE OG FEDTSTOF, Palme</v>
      </c>
      <c r="I35" s="97">
        <f>+'Produktionsdata input'!D60</f>
        <v>0</v>
      </c>
      <c r="J35" s="110">
        <f t="shared" si="38"/>
        <v>6.2320000000000002</v>
      </c>
      <c r="K35" s="37">
        <f t="shared" si="58"/>
        <v>0</v>
      </c>
      <c r="L35" s="99">
        <f t="shared" si="39"/>
        <v>3.81</v>
      </c>
      <c r="M35" s="20">
        <f t="shared" si="40"/>
        <v>0</v>
      </c>
      <c r="O35" s="93" t="str">
        <f t="shared" si="41"/>
        <v>VEGETABILSK OLIE OG FEDTSTOF, Palme</v>
      </c>
      <c r="P35" s="97">
        <f>+'Produktionsdata input'!E60</f>
        <v>0</v>
      </c>
      <c r="Q35" s="110">
        <f t="shared" si="42"/>
        <v>6.2320000000000002</v>
      </c>
      <c r="R35" s="37">
        <f t="shared" si="59"/>
        <v>0</v>
      </c>
      <c r="S35" s="99">
        <f t="shared" si="43"/>
        <v>3.81</v>
      </c>
      <c r="T35" s="20">
        <f t="shared" si="44"/>
        <v>0</v>
      </c>
      <c r="V35" s="93" t="str">
        <f t="shared" si="60"/>
        <v>VEGETABILSK OLIE OG FEDTSTOF, Palme</v>
      </c>
      <c r="W35" s="97">
        <f>+'Produktionsdata input'!F60</f>
        <v>0</v>
      </c>
      <c r="X35" s="110">
        <f t="shared" si="46"/>
        <v>6.2320000000000002</v>
      </c>
      <c r="Y35" s="37">
        <f t="shared" si="61"/>
        <v>0</v>
      </c>
      <c r="Z35" s="99">
        <f t="shared" si="47"/>
        <v>3.81</v>
      </c>
      <c r="AA35" s="20">
        <f t="shared" si="48"/>
        <v>0</v>
      </c>
      <c r="AC35" s="93" t="str">
        <f t="shared" si="49"/>
        <v>VEGETABILSK OLIE OG FEDTSTOF, Palme</v>
      </c>
      <c r="AD35" s="97">
        <f>+'Produktionsdata input'!G60</f>
        <v>0</v>
      </c>
      <c r="AE35" s="110">
        <f t="shared" si="50"/>
        <v>6.2320000000000002</v>
      </c>
      <c r="AF35" s="37">
        <f t="shared" si="62"/>
        <v>0</v>
      </c>
      <c r="AG35" s="99">
        <f t="shared" si="51"/>
        <v>3.81</v>
      </c>
      <c r="AH35" s="20">
        <f t="shared" si="52"/>
        <v>0</v>
      </c>
      <c r="AJ35" s="93" t="str">
        <f t="shared" si="63"/>
        <v>VEGETABILSK OLIE OG FEDTSTOF, Palme</v>
      </c>
      <c r="AK35" s="15">
        <f>+'Produktionsdata input'!H60</f>
        <v>0</v>
      </c>
      <c r="AL35" s="110">
        <f t="shared" si="53"/>
        <v>6.2320000000000002</v>
      </c>
      <c r="AM35" s="37">
        <f t="shared" si="64"/>
        <v>0</v>
      </c>
      <c r="AN35" s="99">
        <f t="shared" si="54"/>
        <v>3.81</v>
      </c>
      <c r="AO35" s="20">
        <f t="shared" si="55"/>
        <v>0</v>
      </c>
    </row>
    <row r="36" spans="1:41" x14ac:dyDescent="0.25">
      <c r="A36" s="93" t="str">
        <f>+'Produktionsdata input'!B61</f>
        <v>SOJA/Raps olie</v>
      </c>
      <c r="B36" s="97">
        <f>+'Produktionsdata input'!C61</f>
        <v>0</v>
      </c>
      <c r="C36" s="110">
        <f t="shared" si="34"/>
        <v>1.92</v>
      </c>
      <c r="D36" s="37">
        <f t="shared" si="56"/>
        <v>0</v>
      </c>
      <c r="E36" s="99">
        <f t="shared" si="35"/>
        <v>4</v>
      </c>
      <c r="F36" s="20">
        <f t="shared" si="36"/>
        <v>0</v>
      </c>
      <c r="H36" s="93" t="str">
        <f t="shared" si="57"/>
        <v>SOJA/Raps olie</v>
      </c>
      <c r="I36" s="97">
        <f>+'Produktionsdata input'!D61</f>
        <v>0</v>
      </c>
      <c r="J36" s="110">
        <f t="shared" si="38"/>
        <v>1.92</v>
      </c>
      <c r="K36" s="37">
        <f t="shared" si="58"/>
        <v>0</v>
      </c>
      <c r="L36" s="99">
        <f t="shared" si="39"/>
        <v>4</v>
      </c>
      <c r="M36" s="20">
        <f>+I35*L35</f>
        <v>0</v>
      </c>
      <c r="O36" s="93" t="str">
        <f>+O16</f>
        <v>SOJA/Raps olie</v>
      </c>
      <c r="P36" s="97">
        <f>+'Produktionsdata input'!E61</f>
        <v>0</v>
      </c>
      <c r="Q36" s="110">
        <f t="shared" si="42"/>
        <v>1.92</v>
      </c>
      <c r="R36" s="37">
        <f t="shared" si="59"/>
        <v>0</v>
      </c>
      <c r="S36" s="99">
        <f t="shared" si="43"/>
        <v>4</v>
      </c>
      <c r="T36" s="20">
        <f t="shared" si="44"/>
        <v>0</v>
      </c>
      <c r="V36" s="93" t="str">
        <f t="shared" si="60"/>
        <v>SOJA/Raps olie</v>
      </c>
      <c r="W36" s="97">
        <f>+'Produktionsdata input'!F61</f>
        <v>0</v>
      </c>
      <c r="X36" s="110">
        <f t="shared" si="46"/>
        <v>1.92</v>
      </c>
      <c r="Y36" s="37">
        <f t="shared" si="61"/>
        <v>0</v>
      </c>
      <c r="Z36" s="99">
        <f t="shared" si="47"/>
        <v>4</v>
      </c>
      <c r="AA36" s="20">
        <f t="shared" si="48"/>
        <v>0</v>
      </c>
      <c r="AC36" s="93" t="str">
        <f>+V16</f>
        <v>SOJA/Raps olie</v>
      </c>
      <c r="AD36" s="97">
        <f>+'Produktionsdata input'!G61</f>
        <v>0</v>
      </c>
      <c r="AE36" s="110">
        <f t="shared" si="50"/>
        <v>1.92</v>
      </c>
      <c r="AF36" s="37">
        <f t="shared" si="62"/>
        <v>0</v>
      </c>
      <c r="AG36" s="99">
        <f t="shared" si="51"/>
        <v>4</v>
      </c>
      <c r="AH36" s="20">
        <f t="shared" si="52"/>
        <v>0</v>
      </c>
      <c r="AJ36" s="93" t="str">
        <f t="shared" si="63"/>
        <v>SOJA/Raps olie</v>
      </c>
      <c r="AK36" s="15">
        <f>+'Produktionsdata input'!H61</f>
        <v>0</v>
      </c>
      <c r="AL36" s="110">
        <f t="shared" si="53"/>
        <v>1.92</v>
      </c>
      <c r="AM36" s="37">
        <f t="shared" si="64"/>
        <v>0</v>
      </c>
      <c r="AN36" s="99">
        <f t="shared" si="54"/>
        <v>4</v>
      </c>
      <c r="AO36" s="20">
        <f t="shared" si="55"/>
        <v>0</v>
      </c>
    </row>
    <row r="37" spans="1:41" x14ac:dyDescent="0.25">
      <c r="A37" s="93" t="str">
        <f>+'Produktionsdata input'!B62</f>
        <v>SUKKERROEMELASSE</v>
      </c>
      <c r="B37" s="97">
        <f>+'Produktionsdata input'!C62</f>
        <v>0</v>
      </c>
      <c r="C37" s="110">
        <f t="shared" si="34"/>
        <v>0.19</v>
      </c>
      <c r="D37" s="37">
        <f t="shared" si="56"/>
        <v>0</v>
      </c>
      <c r="E37" s="99">
        <f t="shared" si="35"/>
        <v>0.68</v>
      </c>
      <c r="F37" s="20">
        <f t="shared" si="36"/>
        <v>0</v>
      </c>
      <c r="H37" s="93" t="str">
        <f t="shared" si="57"/>
        <v>SUKKERROEMELASSE</v>
      </c>
      <c r="I37" s="97">
        <f>+'Produktionsdata input'!D62</f>
        <v>0</v>
      </c>
      <c r="J37" s="110">
        <f t="shared" si="38"/>
        <v>0.19</v>
      </c>
      <c r="K37" s="37">
        <f t="shared" si="58"/>
        <v>0</v>
      </c>
      <c r="L37" s="99">
        <f t="shared" si="39"/>
        <v>0.68</v>
      </c>
      <c r="M37" s="20">
        <f t="shared" si="40"/>
        <v>0</v>
      </c>
      <c r="O37" s="93" t="str">
        <f t="shared" si="41"/>
        <v>SUKKERROEMELASSE</v>
      </c>
      <c r="P37" s="97">
        <f>+'Produktionsdata input'!E62</f>
        <v>0</v>
      </c>
      <c r="Q37" s="110">
        <f t="shared" si="42"/>
        <v>0.19</v>
      </c>
      <c r="R37" s="37">
        <f t="shared" si="59"/>
        <v>0</v>
      </c>
      <c r="S37" s="99">
        <f t="shared" si="43"/>
        <v>0.68</v>
      </c>
      <c r="T37" s="20">
        <f t="shared" si="44"/>
        <v>0</v>
      </c>
      <c r="V37" s="93" t="str">
        <f t="shared" si="60"/>
        <v>SUKKERROEMELASSE</v>
      </c>
      <c r="W37" s="97">
        <f>+'Produktionsdata input'!F62</f>
        <v>0</v>
      </c>
      <c r="X37" s="110">
        <f t="shared" si="46"/>
        <v>0.19</v>
      </c>
      <c r="Y37" s="37">
        <f t="shared" si="61"/>
        <v>0</v>
      </c>
      <c r="Z37" s="99">
        <f t="shared" si="47"/>
        <v>0.68</v>
      </c>
      <c r="AA37" s="20">
        <f t="shared" si="48"/>
        <v>0</v>
      </c>
      <c r="AC37" s="93" t="str">
        <f>+A37</f>
        <v>SUKKERROEMELASSE</v>
      </c>
      <c r="AD37" s="97">
        <f>+'Produktionsdata input'!G62</f>
        <v>0</v>
      </c>
      <c r="AE37" s="110">
        <f t="shared" si="50"/>
        <v>0.19</v>
      </c>
      <c r="AF37" s="37">
        <f t="shared" si="62"/>
        <v>0</v>
      </c>
      <c r="AG37" s="99">
        <f t="shared" si="51"/>
        <v>0.68</v>
      </c>
      <c r="AH37" s="20">
        <f t="shared" si="52"/>
        <v>0</v>
      </c>
      <c r="AJ37" s="93" t="str">
        <f t="shared" si="63"/>
        <v>SUKKERROEMELASSE</v>
      </c>
      <c r="AK37" s="15">
        <f>+'Produktionsdata input'!H62</f>
        <v>0</v>
      </c>
      <c r="AL37" s="110">
        <f t="shared" si="53"/>
        <v>0.19</v>
      </c>
      <c r="AM37" s="37">
        <f t="shared" si="64"/>
        <v>0</v>
      </c>
      <c r="AN37" s="99">
        <f t="shared" si="54"/>
        <v>0.68</v>
      </c>
      <c r="AO37" s="20">
        <f t="shared" si="55"/>
        <v>0</v>
      </c>
    </row>
    <row r="38" spans="1:41" x14ac:dyDescent="0.25">
      <c r="A38" s="93" t="str">
        <f>+'Produktionsdata input'!B63</f>
        <v>Fiskemel</v>
      </c>
      <c r="B38" s="97">
        <f>+'Produktionsdata input'!C63</f>
        <v>0</v>
      </c>
      <c r="C38" s="110">
        <f t="shared" si="34"/>
        <v>1.4730000000000001</v>
      </c>
      <c r="D38" s="37">
        <f t="shared" si="56"/>
        <v>0</v>
      </c>
      <c r="E38" s="99">
        <f t="shared" si="35"/>
        <v>1.1599999999999999</v>
      </c>
      <c r="F38" s="20">
        <f t="shared" si="36"/>
        <v>0</v>
      </c>
      <c r="H38" s="93" t="str">
        <f t="shared" si="57"/>
        <v>Fiskemel</v>
      </c>
      <c r="I38" s="97">
        <f>+'Produktionsdata input'!D63</f>
        <v>0</v>
      </c>
      <c r="J38" s="110">
        <f t="shared" si="38"/>
        <v>1.4730000000000001</v>
      </c>
      <c r="K38" s="37">
        <f t="shared" si="58"/>
        <v>0</v>
      </c>
      <c r="L38" s="99">
        <f t="shared" si="39"/>
        <v>1.1599999999999999</v>
      </c>
      <c r="M38" s="20">
        <f t="shared" si="40"/>
        <v>0</v>
      </c>
      <c r="O38" s="93" t="str">
        <f>+A38</f>
        <v>Fiskemel</v>
      </c>
      <c r="P38" s="97">
        <f>+'Produktionsdata input'!E63</f>
        <v>0</v>
      </c>
      <c r="Q38" s="110">
        <f t="shared" si="42"/>
        <v>1.4730000000000001</v>
      </c>
      <c r="R38" s="37">
        <f t="shared" si="59"/>
        <v>0</v>
      </c>
      <c r="S38" s="99">
        <f t="shared" si="43"/>
        <v>1.1599999999999999</v>
      </c>
      <c r="T38" s="20">
        <f t="shared" si="44"/>
        <v>0</v>
      </c>
      <c r="V38" s="93" t="str">
        <f t="shared" si="60"/>
        <v>Fiskemel</v>
      </c>
      <c r="W38" s="97">
        <f>+'Produktionsdata input'!F63</f>
        <v>0</v>
      </c>
      <c r="X38" s="110">
        <f t="shared" si="46"/>
        <v>1.4730000000000001</v>
      </c>
      <c r="Y38" s="37">
        <f t="shared" si="61"/>
        <v>0</v>
      </c>
      <c r="Z38" s="99">
        <f t="shared" si="47"/>
        <v>1.1599999999999999</v>
      </c>
      <c r="AA38" s="20">
        <f t="shared" si="48"/>
        <v>0</v>
      </c>
      <c r="AC38" s="93" t="str">
        <f>+O38</f>
        <v>Fiskemel</v>
      </c>
      <c r="AD38" s="97">
        <f>+'Produktionsdata input'!G63</f>
        <v>0</v>
      </c>
      <c r="AE38" s="110">
        <f t="shared" si="50"/>
        <v>1.4730000000000001</v>
      </c>
      <c r="AF38" s="37">
        <f t="shared" si="62"/>
        <v>0</v>
      </c>
      <c r="AG38" s="99">
        <f t="shared" si="51"/>
        <v>1.1599999999999999</v>
      </c>
      <c r="AH38" s="20">
        <f t="shared" si="52"/>
        <v>0</v>
      </c>
      <c r="AJ38" s="93" t="str">
        <f t="shared" si="63"/>
        <v>Fiskemel</v>
      </c>
      <c r="AK38" s="15">
        <f>+'Produktionsdata input'!H63</f>
        <v>0</v>
      </c>
      <c r="AL38" s="110">
        <f t="shared" si="53"/>
        <v>1.4730000000000001</v>
      </c>
      <c r="AM38" s="37">
        <f t="shared" si="64"/>
        <v>0</v>
      </c>
      <c r="AN38" s="99">
        <f t="shared" si="54"/>
        <v>1.1599999999999999</v>
      </c>
      <c r="AO38" s="20">
        <f t="shared" si="55"/>
        <v>0</v>
      </c>
    </row>
    <row r="39" spans="1:41" x14ac:dyDescent="0.25">
      <c r="A39" s="93" t="str">
        <f>+'Produktionsdata input'!B64</f>
        <v>Skummetmælkspulver</v>
      </c>
      <c r="B39" s="97">
        <f>+'Produktionsdata input'!C64</f>
        <v>0</v>
      </c>
      <c r="C39" s="110">
        <f t="shared" si="34"/>
        <v>7.8760000000000003</v>
      </c>
      <c r="D39" s="37">
        <f t="shared" si="56"/>
        <v>0</v>
      </c>
      <c r="E39" s="99">
        <f t="shared" si="35"/>
        <v>1.29</v>
      </c>
      <c r="F39" s="20">
        <f t="shared" si="36"/>
        <v>0</v>
      </c>
      <c r="H39" s="93" t="str">
        <f t="shared" si="57"/>
        <v>Skummetmælkspulver</v>
      </c>
      <c r="I39" s="97">
        <f>+'Produktionsdata input'!D64</f>
        <v>0</v>
      </c>
      <c r="J39" s="110">
        <f t="shared" si="38"/>
        <v>7.8760000000000003</v>
      </c>
      <c r="K39" s="37">
        <f t="shared" si="58"/>
        <v>0</v>
      </c>
      <c r="L39" s="99">
        <f t="shared" si="39"/>
        <v>1.29</v>
      </c>
      <c r="M39" s="20">
        <f t="shared" si="40"/>
        <v>0</v>
      </c>
      <c r="O39" s="93" t="str">
        <f>+A39</f>
        <v>Skummetmælkspulver</v>
      </c>
      <c r="P39" s="97">
        <f>+'Produktionsdata input'!E64</f>
        <v>0</v>
      </c>
      <c r="Q39" s="110">
        <f t="shared" si="42"/>
        <v>7.8760000000000003</v>
      </c>
      <c r="R39" s="37">
        <f t="shared" si="59"/>
        <v>0</v>
      </c>
      <c r="S39" s="99">
        <f t="shared" si="43"/>
        <v>1.29</v>
      </c>
      <c r="T39" s="20">
        <f t="shared" si="44"/>
        <v>0</v>
      </c>
      <c r="V39" s="93" t="str">
        <f t="shared" si="60"/>
        <v>Skummetmælkspulver</v>
      </c>
      <c r="W39" s="97">
        <f>+'Produktionsdata input'!F64</f>
        <v>0</v>
      </c>
      <c r="X39" s="110">
        <f t="shared" si="46"/>
        <v>7.8760000000000003</v>
      </c>
      <c r="Y39" s="37">
        <f t="shared" si="61"/>
        <v>0</v>
      </c>
      <c r="Z39" s="99">
        <f t="shared" si="47"/>
        <v>1.29</v>
      </c>
      <c r="AA39" s="20">
        <f t="shared" si="48"/>
        <v>0</v>
      </c>
      <c r="AC39" s="93" t="str">
        <f>+O39</f>
        <v>Skummetmælkspulver</v>
      </c>
      <c r="AD39" s="97">
        <f>+'Produktionsdata input'!G64</f>
        <v>0</v>
      </c>
      <c r="AE39" s="110">
        <f t="shared" si="50"/>
        <v>7.8760000000000003</v>
      </c>
      <c r="AF39" s="37">
        <f t="shared" si="62"/>
        <v>0</v>
      </c>
      <c r="AG39" s="99">
        <f t="shared" si="51"/>
        <v>1.29</v>
      </c>
      <c r="AH39" s="20">
        <f t="shared" si="52"/>
        <v>0</v>
      </c>
      <c r="AJ39" s="93" t="str">
        <f t="shared" si="63"/>
        <v>Skummetmælkspulver</v>
      </c>
      <c r="AK39" s="15">
        <f>+'Produktionsdata input'!H64</f>
        <v>0</v>
      </c>
      <c r="AL39" s="110">
        <f t="shared" si="53"/>
        <v>7.8760000000000003</v>
      </c>
      <c r="AM39" s="37">
        <f t="shared" si="64"/>
        <v>0</v>
      </c>
      <c r="AN39" s="99">
        <f t="shared" si="54"/>
        <v>1.29</v>
      </c>
      <c r="AO39" s="20">
        <f t="shared" si="55"/>
        <v>0</v>
      </c>
    </row>
    <row r="40" spans="1:41" x14ac:dyDescent="0.25">
      <c r="A40" s="93" t="str">
        <f>+'Produktionsdata input'!B65</f>
        <v>Mineralsk foderblanding</v>
      </c>
      <c r="B40" s="97">
        <f>+'Produktionsdata input'!C65</f>
        <v>0</v>
      </c>
      <c r="C40" s="110">
        <f t="shared" si="34"/>
        <v>1.31</v>
      </c>
      <c r="D40" s="37">
        <f t="shared" si="56"/>
        <v>0</v>
      </c>
      <c r="E40" s="99">
        <f t="shared" si="35"/>
        <v>0.2</v>
      </c>
      <c r="F40" s="20">
        <f t="shared" si="36"/>
        <v>0</v>
      </c>
      <c r="H40" s="93" t="str">
        <f t="shared" si="57"/>
        <v>Mineralsk foderblanding</v>
      </c>
      <c r="I40" s="97">
        <f>+'Produktionsdata input'!D65</f>
        <v>0</v>
      </c>
      <c r="J40" s="110">
        <f t="shared" si="38"/>
        <v>1.31</v>
      </c>
      <c r="K40" s="37">
        <f t="shared" si="58"/>
        <v>0</v>
      </c>
      <c r="L40" s="99">
        <f t="shared" si="39"/>
        <v>0.2</v>
      </c>
      <c r="M40" s="20">
        <f t="shared" si="40"/>
        <v>0</v>
      </c>
      <c r="O40" s="93" t="str">
        <f t="shared" si="41"/>
        <v>Mineralsk foderblanding</v>
      </c>
      <c r="P40" s="97">
        <f>+'Produktionsdata input'!E65</f>
        <v>0</v>
      </c>
      <c r="Q40" s="110">
        <f t="shared" si="42"/>
        <v>1.31</v>
      </c>
      <c r="R40" s="37">
        <f t="shared" si="59"/>
        <v>0</v>
      </c>
      <c r="S40" s="99">
        <f t="shared" si="43"/>
        <v>0.2</v>
      </c>
      <c r="T40" s="20">
        <f t="shared" si="44"/>
        <v>0</v>
      </c>
      <c r="V40" s="93" t="str">
        <f t="shared" si="60"/>
        <v>Mineralsk foderblanding</v>
      </c>
      <c r="W40" s="97">
        <f>+'Produktionsdata input'!F65</f>
        <v>0</v>
      </c>
      <c r="X40" s="110">
        <f t="shared" si="46"/>
        <v>1.31</v>
      </c>
      <c r="Y40" s="37">
        <f t="shared" si="61"/>
        <v>0</v>
      </c>
      <c r="Z40" s="99">
        <f t="shared" si="47"/>
        <v>0.2</v>
      </c>
      <c r="AA40" s="20">
        <f t="shared" si="48"/>
        <v>0</v>
      </c>
      <c r="AC40" s="93" t="str">
        <f>+A40</f>
        <v>Mineralsk foderblanding</v>
      </c>
      <c r="AD40" s="97">
        <f>+'Produktionsdata input'!G63</f>
        <v>0</v>
      </c>
      <c r="AE40" s="110">
        <f t="shared" si="50"/>
        <v>1.31</v>
      </c>
      <c r="AF40" s="37">
        <f t="shared" si="62"/>
        <v>0</v>
      </c>
      <c r="AG40" s="99">
        <f t="shared" si="51"/>
        <v>0.2</v>
      </c>
      <c r="AH40" s="20">
        <f t="shared" si="52"/>
        <v>0</v>
      </c>
      <c r="AJ40" s="93" t="str">
        <f t="shared" si="63"/>
        <v>Mineralsk foderblanding</v>
      </c>
      <c r="AK40" s="15">
        <f>+'Produktionsdata input'!H65</f>
        <v>0</v>
      </c>
      <c r="AL40" s="110">
        <f t="shared" si="53"/>
        <v>1.31</v>
      </c>
      <c r="AM40" s="37">
        <f t="shared" si="64"/>
        <v>0</v>
      </c>
      <c r="AN40" s="99">
        <f t="shared" si="54"/>
        <v>0.2</v>
      </c>
      <c r="AO40" s="20">
        <f t="shared" si="55"/>
        <v>0</v>
      </c>
    </row>
    <row r="41" spans="1:41" ht="16.5" thickBot="1" x14ac:dyDescent="0.3">
      <c r="A41" s="93" t="str">
        <f>+'Produktionsdata input'!B66</f>
        <v>Andet</v>
      </c>
      <c r="B41" s="97">
        <f>+'Produktionsdata input'!C66</f>
        <v>0</v>
      </c>
      <c r="C41" s="110">
        <f t="shared" si="34"/>
        <v>0.6</v>
      </c>
      <c r="D41" s="37">
        <f t="shared" si="56"/>
        <v>0</v>
      </c>
      <c r="E41" s="99">
        <f t="shared" si="35"/>
        <v>1.2</v>
      </c>
      <c r="F41" s="20">
        <f t="shared" si="36"/>
        <v>0</v>
      </c>
      <c r="H41" s="93" t="str">
        <f t="shared" si="57"/>
        <v>Andet</v>
      </c>
      <c r="I41" s="97">
        <f>+'Produktionsdata input'!D66</f>
        <v>0</v>
      </c>
      <c r="J41" s="110">
        <f t="shared" si="38"/>
        <v>0.6</v>
      </c>
      <c r="K41" s="37">
        <f t="shared" si="58"/>
        <v>0</v>
      </c>
      <c r="L41" s="99">
        <f t="shared" si="39"/>
        <v>1.2</v>
      </c>
      <c r="M41" s="20">
        <f t="shared" si="40"/>
        <v>0</v>
      </c>
      <c r="O41" s="93" t="str">
        <f t="shared" si="41"/>
        <v>Andet</v>
      </c>
      <c r="P41" s="97">
        <f>+'Produktionsdata input'!E66</f>
        <v>0</v>
      </c>
      <c r="Q41" s="110">
        <f t="shared" si="42"/>
        <v>0.6</v>
      </c>
      <c r="R41" s="37">
        <f t="shared" si="59"/>
        <v>0</v>
      </c>
      <c r="S41" s="99">
        <f t="shared" si="43"/>
        <v>1.2</v>
      </c>
      <c r="T41" s="20">
        <f t="shared" si="44"/>
        <v>0</v>
      </c>
      <c r="V41" s="93" t="str">
        <f t="shared" si="60"/>
        <v>Andet</v>
      </c>
      <c r="W41" s="97">
        <f>+'Produktionsdata input'!F66</f>
        <v>0</v>
      </c>
      <c r="X41" s="110">
        <f t="shared" si="46"/>
        <v>0.6</v>
      </c>
      <c r="Y41" s="37">
        <f t="shared" si="61"/>
        <v>0</v>
      </c>
      <c r="Z41" s="99">
        <f t="shared" si="47"/>
        <v>1.2</v>
      </c>
      <c r="AA41" s="20">
        <f t="shared" si="48"/>
        <v>0</v>
      </c>
      <c r="AC41" s="93" t="str">
        <f>+A41</f>
        <v>Andet</v>
      </c>
      <c r="AD41" s="97">
        <f>+'Produktionsdata input'!G64</f>
        <v>0</v>
      </c>
      <c r="AE41" s="110">
        <f t="shared" si="50"/>
        <v>0.6</v>
      </c>
      <c r="AF41" s="37">
        <f t="shared" si="62"/>
        <v>0</v>
      </c>
      <c r="AG41" s="99">
        <f t="shared" si="51"/>
        <v>1.2</v>
      </c>
      <c r="AH41" s="20">
        <f t="shared" si="52"/>
        <v>0</v>
      </c>
      <c r="AJ41" s="93" t="str">
        <f t="shared" si="63"/>
        <v>Andet</v>
      </c>
      <c r="AK41" s="15">
        <f>+'Produktionsdata input'!H66</f>
        <v>0</v>
      </c>
      <c r="AL41" s="110">
        <f t="shared" si="53"/>
        <v>0.6</v>
      </c>
      <c r="AM41" s="37">
        <f t="shared" si="64"/>
        <v>0</v>
      </c>
      <c r="AN41" s="99">
        <f t="shared" si="54"/>
        <v>1.2</v>
      </c>
      <c r="AO41" s="20">
        <f t="shared" si="55"/>
        <v>0</v>
      </c>
    </row>
    <row r="42" spans="1:41" ht="16.5" thickBot="1" x14ac:dyDescent="0.3">
      <c r="A42" s="39" t="s">
        <v>0</v>
      </c>
      <c r="B42" s="95">
        <f>SUM(B26:B41)</f>
        <v>0</v>
      </c>
      <c r="C42" s="94"/>
      <c r="D42" s="74">
        <f>SUM(D26:D41)</f>
        <v>0</v>
      </c>
      <c r="E42" s="2"/>
      <c r="F42" s="20">
        <f>SUM(F26:F41)</f>
        <v>0</v>
      </c>
      <c r="H42" s="39" t="s">
        <v>0</v>
      </c>
      <c r="I42" s="95">
        <f>SUM(I26:I41)</f>
        <v>0</v>
      </c>
      <c r="J42" s="94"/>
      <c r="K42" s="74">
        <f>SUM(K26:K41)</f>
        <v>0</v>
      </c>
      <c r="L42" s="2"/>
      <c r="M42" s="20">
        <f>SUM(M26:M41)</f>
        <v>0</v>
      </c>
      <c r="O42" s="39" t="s">
        <v>0</v>
      </c>
      <c r="P42" s="95">
        <f>SUM(P26:P41)</f>
        <v>0</v>
      </c>
      <c r="Q42" s="94"/>
      <c r="R42" s="74">
        <f>SUM(R26:R41)</f>
        <v>0</v>
      </c>
      <c r="S42" s="2"/>
      <c r="T42" s="20">
        <f>SUM(T26:T41)</f>
        <v>0</v>
      </c>
      <c r="V42" s="39" t="s">
        <v>0</v>
      </c>
      <c r="W42" s="95">
        <f>SUM(W26:W41)</f>
        <v>0</v>
      </c>
      <c r="X42" s="94"/>
      <c r="Y42" s="74">
        <f>SUM(Y26:Y41)</f>
        <v>0</v>
      </c>
      <c r="Z42" s="2"/>
      <c r="AA42" s="20">
        <f>SUM(AA26:AA41)</f>
        <v>0</v>
      </c>
      <c r="AC42" s="39" t="s">
        <v>0</v>
      </c>
      <c r="AD42" s="95">
        <f>SUM(AD26:AD41)</f>
        <v>0</v>
      </c>
      <c r="AE42" s="94"/>
      <c r="AF42" s="74">
        <f>SUM(AF26:AF41)</f>
        <v>0</v>
      </c>
      <c r="AG42" s="2"/>
      <c r="AH42" s="20">
        <f>SUM(AH26:AH41)</f>
        <v>0</v>
      </c>
      <c r="AJ42" s="39" t="s">
        <v>0</v>
      </c>
      <c r="AK42" s="15">
        <f>SUM(AK26:AK41)</f>
        <v>0</v>
      </c>
      <c r="AL42" s="94"/>
      <c r="AM42" s="74">
        <f>SUM(AM26:AM41)</f>
        <v>0</v>
      </c>
      <c r="AN42" s="2"/>
      <c r="AO42" s="20">
        <f>SUM(AO26:AO41)</f>
        <v>0</v>
      </c>
    </row>
    <row r="43" spans="1:41" ht="16.5" thickBot="1" x14ac:dyDescent="0.3">
      <c r="A43" s="12" t="s">
        <v>21</v>
      </c>
      <c r="B43" s="95"/>
      <c r="C43" s="95"/>
      <c r="D43" s="73"/>
      <c r="E43" s="40"/>
      <c r="F43" s="74">
        <f>IF(F42=0,0,D42/F42)</f>
        <v>0</v>
      </c>
      <c r="H43" s="13" t="s">
        <v>21</v>
      </c>
      <c r="I43" s="18"/>
      <c r="J43" s="18"/>
      <c r="K43" s="22"/>
      <c r="L43" s="14"/>
      <c r="M43" s="21">
        <f>IF(M42=0,0,K42/M42)</f>
        <v>0</v>
      </c>
      <c r="O43" s="13" t="s">
        <v>21</v>
      </c>
      <c r="P43" s="18"/>
      <c r="Q43" s="18"/>
      <c r="R43" s="22"/>
      <c r="S43" s="14"/>
      <c r="T43" s="21">
        <f>IF(T42=0,0,R42/T42)</f>
        <v>0</v>
      </c>
      <c r="V43" s="13" t="s">
        <v>21</v>
      </c>
      <c r="W43" s="18"/>
      <c r="X43" s="18"/>
      <c r="Y43" s="22"/>
      <c r="Z43" s="14"/>
      <c r="AA43" s="21">
        <f>IF(AA42=0,0,Y42/AA42)</f>
        <v>0</v>
      </c>
      <c r="AC43" s="13" t="s">
        <v>21</v>
      </c>
      <c r="AD43" s="18"/>
      <c r="AE43" s="18"/>
      <c r="AF43" s="22"/>
      <c r="AG43" s="14"/>
      <c r="AH43" s="21">
        <f>IF(AH42=0,0,AF42/AH42)</f>
        <v>0</v>
      </c>
      <c r="AJ43" s="13" t="s">
        <v>21</v>
      </c>
      <c r="AK43" s="18"/>
      <c r="AL43" s="18"/>
      <c r="AM43" s="22"/>
      <c r="AN43" s="14"/>
      <c r="AO43" s="21">
        <f>IF(AO42=0,0,AM42/AO42)</f>
        <v>0</v>
      </c>
    </row>
    <row r="44" spans="1:41" x14ac:dyDescent="0.25">
      <c r="A44" s="12" t="s">
        <v>20</v>
      </c>
      <c r="B44" s="40"/>
      <c r="C44" s="40"/>
      <c r="D44" s="40"/>
      <c r="E44" s="95">
        <f>+'Produktionsdata input'!C75</f>
        <v>0</v>
      </c>
      <c r="F44" s="71">
        <f>+F23</f>
        <v>0</v>
      </c>
      <c r="H44" s="12" t="s">
        <v>20</v>
      </c>
      <c r="I44" s="40"/>
      <c r="J44" s="40"/>
      <c r="K44" s="40"/>
      <c r="L44" s="95">
        <f>+'Produktionsdata input'!D75</f>
        <v>0</v>
      </c>
      <c r="M44" s="71">
        <f>+M23</f>
        <v>0</v>
      </c>
      <c r="O44" s="12" t="s">
        <v>20</v>
      </c>
      <c r="P44" s="40"/>
      <c r="Q44" s="40"/>
      <c r="R44" s="40"/>
      <c r="S44" s="95">
        <f>+'Produktionsdata input'!E75</f>
        <v>0</v>
      </c>
      <c r="T44" s="71">
        <f>+T23</f>
        <v>0</v>
      </c>
      <c r="V44" s="12" t="s">
        <v>20</v>
      </c>
      <c r="W44" s="40"/>
      <c r="X44" s="40"/>
      <c r="Y44" s="40"/>
      <c r="Z44" s="95">
        <f>+'Produktionsdata input'!F75</f>
        <v>0</v>
      </c>
      <c r="AA44" s="71">
        <f>+AA23</f>
        <v>0</v>
      </c>
      <c r="AC44" s="12" t="s">
        <v>20</v>
      </c>
      <c r="AD44" s="40"/>
      <c r="AE44" s="40"/>
      <c r="AF44" s="40"/>
      <c r="AG44" s="95">
        <f>+'Produktionsdata input'!G75</f>
        <v>0</v>
      </c>
      <c r="AH44" s="71">
        <f>+AH23</f>
        <v>0</v>
      </c>
      <c r="AJ44" s="12" t="s">
        <v>20</v>
      </c>
      <c r="AK44" s="40"/>
      <c r="AL44" s="40"/>
      <c r="AM44" s="40"/>
      <c r="AN44" s="95">
        <f>+'Produktionsdata input'!H75</f>
        <v>0</v>
      </c>
      <c r="AO44" s="71">
        <f>+AO23</f>
        <v>0</v>
      </c>
    </row>
    <row r="45" spans="1:41" x14ac:dyDescent="0.25">
      <c r="A45" s="9" t="s">
        <v>21</v>
      </c>
      <c r="B45" s="2"/>
      <c r="C45" s="2"/>
      <c r="D45" s="2"/>
      <c r="E45" s="15">
        <f>+'Produktionsdata input'!C76</f>
        <v>0</v>
      </c>
      <c r="F45" s="72">
        <f>+F43</f>
        <v>0</v>
      </c>
      <c r="H45" s="9" t="str">
        <f>+A45</f>
        <v>Den beregnede blanding 2. GWP værdi per FEsv</v>
      </c>
      <c r="I45" s="2"/>
      <c r="J45" s="2"/>
      <c r="K45" s="2"/>
      <c r="L45" s="15">
        <f>+'Produktionsdata input'!D76</f>
        <v>0</v>
      </c>
      <c r="M45" s="72">
        <f>+M43</f>
        <v>0</v>
      </c>
      <c r="O45" s="9" t="str">
        <f>+A45</f>
        <v>Den beregnede blanding 2. GWP værdi per FEsv</v>
      </c>
      <c r="P45" s="2"/>
      <c r="Q45" s="2"/>
      <c r="R45" s="2"/>
      <c r="S45" s="15">
        <f>+'Produktionsdata input'!E76</f>
        <v>0</v>
      </c>
      <c r="T45" s="72">
        <f>+T43</f>
        <v>0</v>
      </c>
      <c r="V45" s="9" t="str">
        <f>+A45</f>
        <v>Den beregnede blanding 2. GWP værdi per FEsv</v>
      </c>
      <c r="W45" s="2"/>
      <c r="X45" s="2"/>
      <c r="Y45" s="2"/>
      <c r="Z45" s="15">
        <f>+'Produktionsdata input'!F76</f>
        <v>0</v>
      </c>
      <c r="AA45" s="72">
        <f>+AA43</f>
        <v>0</v>
      </c>
      <c r="AC45" s="9" t="str">
        <f>+A45</f>
        <v>Den beregnede blanding 2. GWP værdi per FEsv</v>
      </c>
      <c r="AD45" s="2"/>
      <c r="AE45" s="2"/>
      <c r="AF45" s="2"/>
      <c r="AG45" s="15">
        <f>+'Produktionsdata input'!G76</f>
        <v>0</v>
      </c>
      <c r="AH45" s="72">
        <f>+AH43</f>
        <v>0</v>
      </c>
      <c r="AJ45" s="90" t="str">
        <f>+A45</f>
        <v>Den beregnede blanding 2. GWP værdi per FEsv</v>
      </c>
      <c r="AK45" s="91"/>
      <c r="AL45" s="91"/>
      <c r="AM45" s="91"/>
      <c r="AN45" s="100">
        <f>+'Produktionsdata input'!H76</f>
        <v>0</v>
      </c>
      <c r="AO45" s="101">
        <f>+AO43</f>
        <v>0</v>
      </c>
    </row>
    <row r="46" spans="1:41" s="33" customFormat="1" x14ac:dyDescent="0.25">
      <c r="A46" s="90" t="s">
        <v>193</v>
      </c>
      <c r="B46" s="91"/>
      <c r="C46" s="91"/>
      <c r="D46" s="91"/>
      <c r="E46" s="100">
        <f>+'Produktionsdata input'!C77</f>
        <v>0.5</v>
      </c>
      <c r="F46" s="101">
        <f>+K70</f>
        <v>0.5166035372721286</v>
      </c>
      <c r="G46" s="88"/>
      <c r="H46" s="90" t="s">
        <v>190</v>
      </c>
      <c r="I46" s="91"/>
      <c r="J46" s="91"/>
      <c r="K46" s="91"/>
      <c r="L46" s="100">
        <f>+'Produktionsdata input'!D77</f>
        <v>0.5</v>
      </c>
      <c r="M46" s="101">
        <f>+'Foder-database'!K70</f>
        <v>0.5166035372721286</v>
      </c>
      <c r="N46" s="88"/>
      <c r="O46" s="90" t="s">
        <v>190</v>
      </c>
      <c r="P46" s="91"/>
      <c r="Q46" s="91"/>
      <c r="R46" s="91"/>
      <c r="S46" s="100">
        <f>+'Produktionsdata input'!E77</f>
        <v>0.5</v>
      </c>
      <c r="T46" s="101">
        <f>+'Foder-database'!K70</f>
        <v>0.5166035372721286</v>
      </c>
      <c r="U46" s="89"/>
      <c r="V46" s="90" t="s">
        <v>190</v>
      </c>
      <c r="W46" s="91"/>
      <c r="X46" s="91"/>
      <c r="Y46" s="91"/>
      <c r="Z46" s="100">
        <f>+'Produktionsdata input'!F77</f>
        <v>0.5</v>
      </c>
      <c r="AA46" s="101">
        <f>+'Foder-database'!K70</f>
        <v>0.5166035372721286</v>
      </c>
      <c r="AB46" s="89"/>
      <c r="AC46" s="90" t="s">
        <v>190</v>
      </c>
      <c r="AD46" s="91"/>
      <c r="AE46" s="91"/>
      <c r="AF46" s="91"/>
      <c r="AG46" s="100">
        <f>+'Produktionsdata input'!G77</f>
        <v>0.5</v>
      </c>
      <c r="AH46" s="101">
        <f>+Y70</f>
        <v>0.46639015662085748</v>
      </c>
      <c r="AI46" s="86"/>
      <c r="AJ46" s="90" t="s">
        <v>190</v>
      </c>
      <c r="AK46" s="91"/>
      <c r="AL46" s="91"/>
      <c r="AM46" s="91"/>
      <c r="AN46" s="100">
        <f>+'Produktionsdata input'!H77</f>
        <v>0.5</v>
      </c>
      <c r="AO46" s="101">
        <f>+AF70</f>
        <v>0.93267205600496095</v>
      </c>
    </row>
    <row r="47" spans="1:41" s="33" customFormat="1" ht="16.5" thickBot="1" x14ac:dyDescent="0.3">
      <c r="A47" s="90" t="s">
        <v>191</v>
      </c>
      <c r="B47" s="91"/>
      <c r="C47" s="91"/>
      <c r="D47" s="91"/>
      <c r="E47" s="100">
        <f>+'Produktionsdata input'!C78</f>
        <v>0.5</v>
      </c>
      <c r="F47" s="101">
        <f>+D70</f>
        <v>0.53541223707191132</v>
      </c>
      <c r="G47" s="88"/>
      <c r="H47" s="90" t="s">
        <v>191</v>
      </c>
      <c r="I47" s="91"/>
      <c r="J47" s="91"/>
      <c r="K47" s="91"/>
      <c r="L47" s="100">
        <f>+'Produktionsdata input'!D78</f>
        <v>0.5</v>
      </c>
      <c r="M47" s="101">
        <f>+'Foder-database'!D70</f>
        <v>0.53541223707191132</v>
      </c>
      <c r="N47" s="88"/>
      <c r="O47" s="90" t="s">
        <v>191</v>
      </c>
      <c r="P47" s="91"/>
      <c r="Q47" s="91"/>
      <c r="R47" s="91"/>
      <c r="S47" s="100">
        <f>+'Produktionsdata input'!E78</f>
        <v>0.5</v>
      </c>
      <c r="T47" s="101">
        <f>+'Foder-database'!D70</f>
        <v>0.53541223707191132</v>
      </c>
      <c r="U47" s="89"/>
      <c r="V47" s="90" t="s">
        <v>191</v>
      </c>
      <c r="W47" s="91"/>
      <c r="X47" s="91"/>
      <c r="Y47" s="91"/>
      <c r="Z47" s="100">
        <f>+'Produktionsdata input'!F78</f>
        <v>0.5</v>
      </c>
      <c r="AA47" s="101">
        <f>+'Foder-database'!D70</f>
        <v>0.53541223707191132</v>
      </c>
      <c r="AB47" s="89"/>
      <c r="AC47" s="90" t="s">
        <v>191</v>
      </c>
      <c r="AD47" s="91"/>
      <c r="AE47" s="91"/>
      <c r="AF47" s="91"/>
      <c r="AG47" s="100">
        <f>+'Produktionsdata input'!G78</f>
        <v>0.5</v>
      </c>
      <c r="AH47" s="101">
        <f>+'Foder-database'!R70</f>
        <v>0.50302322252340037</v>
      </c>
      <c r="AI47" s="86"/>
      <c r="AJ47" s="90" t="s">
        <v>191</v>
      </c>
      <c r="AK47" s="91"/>
      <c r="AL47" s="91"/>
      <c r="AM47" s="91"/>
      <c r="AN47" s="100">
        <f>+'Produktionsdata input'!H78</f>
        <v>0.5</v>
      </c>
      <c r="AO47" s="101">
        <f>+AF70</f>
        <v>0.93267205600496095</v>
      </c>
    </row>
    <row r="48" spans="1:41" ht="16.5" thickBot="1" x14ac:dyDescent="0.3">
      <c r="A48" s="13" t="s">
        <v>192</v>
      </c>
      <c r="B48" s="14"/>
      <c r="C48" s="14"/>
      <c r="D48" s="14"/>
      <c r="E48" s="14"/>
      <c r="F48" s="21">
        <f>+F44*E44+F45*E45+F46*E46+F47*E47</f>
        <v>0.52600788717201996</v>
      </c>
      <c r="H48" s="13" t="s">
        <v>192</v>
      </c>
      <c r="I48" s="14"/>
      <c r="J48" s="14"/>
      <c r="K48" s="14"/>
      <c r="L48" s="14"/>
      <c r="M48" s="21">
        <f>+M44*L44+M45*L45+M46*L46+M47*L47</f>
        <v>0.52600788717201996</v>
      </c>
      <c r="O48" s="13" t="s">
        <v>192</v>
      </c>
      <c r="P48" s="14"/>
      <c r="Q48" s="14"/>
      <c r="R48" s="14"/>
      <c r="S48" s="14"/>
      <c r="T48" s="21">
        <f>+T44*S44+T45*S45+T46*S46+T47*S47</f>
        <v>0.52600788717201996</v>
      </c>
      <c r="V48" s="13" t="s">
        <v>192</v>
      </c>
      <c r="W48" s="14"/>
      <c r="X48" s="14"/>
      <c r="Y48" s="14"/>
      <c r="Z48" s="14"/>
      <c r="AA48" s="21">
        <f>+AA44*Z44+AA45*Z45+AA46*Z46+AA47*Z47</f>
        <v>0.52600788717201996</v>
      </c>
      <c r="AC48" s="13" t="s">
        <v>192</v>
      </c>
      <c r="AD48" s="14"/>
      <c r="AE48" s="14"/>
      <c r="AF48" s="14"/>
      <c r="AG48" s="14"/>
      <c r="AH48" s="21">
        <f>+AH44*AG44+AH45*AG45+AH46*AG46+AH47*AG47</f>
        <v>0.48470668957212892</v>
      </c>
      <c r="AJ48" s="13" t="s">
        <v>192</v>
      </c>
      <c r="AK48" s="14"/>
      <c r="AL48" s="14"/>
      <c r="AM48" s="14"/>
      <c r="AN48" s="14"/>
      <c r="AO48" s="21">
        <f>+AO44*AN44+AO45*AN45+AO46*AN46+AO47*AN47</f>
        <v>0.93267205600496095</v>
      </c>
    </row>
    <row r="50" spans="1:36" x14ac:dyDescent="0.25">
      <c r="B50" s="33"/>
      <c r="I50" s="33"/>
      <c r="P50" s="33"/>
      <c r="W50" s="33"/>
    </row>
    <row r="51" spans="1:36" s="85" customFormat="1" ht="19.5" thickBot="1" x14ac:dyDescent="0.35">
      <c r="A51" s="87" t="s">
        <v>194</v>
      </c>
      <c r="G51" s="88"/>
      <c r="H51" s="87" t="s">
        <v>195</v>
      </c>
      <c r="N51" s="88"/>
      <c r="O51" s="87" t="s">
        <v>196</v>
      </c>
      <c r="U51" s="89"/>
      <c r="V51" s="87" t="s">
        <v>197</v>
      </c>
      <c r="AB51" s="89"/>
      <c r="AC51" s="87" t="s">
        <v>198</v>
      </c>
      <c r="AI51" s="89"/>
      <c r="AJ51" s="87"/>
    </row>
    <row r="52" spans="1:36" ht="95.25" thickBot="1" x14ac:dyDescent="0.3">
      <c r="A52" s="103" t="s">
        <v>9</v>
      </c>
      <c r="B52" s="111" t="s">
        <v>199</v>
      </c>
      <c r="C52" s="112" t="s">
        <v>186</v>
      </c>
      <c r="D52" s="112" t="s">
        <v>187</v>
      </c>
      <c r="E52" s="113" t="s">
        <v>17</v>
      </c>
      <c r="F52" s="114" t="s">
        <v>18</v>
      </c>
      <c r="H52" s="103" t="s">
        <v>13</v>
      </c>
      <c r="I52" s="111" t="s">
        <v>200</v>
      </c>
      <c r="J52" s="112" t="s">
        <v>186</v>
      </c>
      <c r="K52" s="112" t="s">
        <v>187</v>
      </c>
      <c r="L52" s="113" t="s">
        <v>17</v>
      </c>
      <c r="M52" s="114" t="s">
        <v>18</v>
      </c>
      <c r="O52" s="103" t="s">
        <v>9</v>
      </c>
      <c r="P52" s="111" t="s">
        <v>201</v>
      </c>
      <c r="Q52" s="112" t="s">
        <v>186</v>
      </c>
      <c r="R52" s="112" t="s">
        <v>187</v>
      </c>
      <c r="S52" s="113" t="s">
        <v>17</v>
      </c>
      <c r="T52" s="114" t="s">
        <v>18</v>
      </c>
      <c r="V52" s="103" t="s">
        <v>9</v>
      </c>
      <c r="W52" s="111" t="s">
        <v>202</v>
      </c>
      <c r="X52" s="112" t="s">
        <v>186</v>
      </c>
      <c r="Y52" s="112" t="s">
        <v>187</v>
      </c>
      <c r="Z52" s="113" t="s">
        <v>17</v>
      </c>
      <c r="AA52" s="114" t="s">
        <v>18</v>
      </c>
      <c r="AC52" s="103" t="s">
        <v>9</v>
      </c>
      <c r="AD52" s="111" t="s">
        <v>203</v>
      </c>
      <c r="AE52" s="112" t="s">
        <v>186</v>
      </c>
      <c r="AF52" s="112" t="s">
        <v>187</v>
      </c>
      <c r="AG52" s="113" t="s">
        <v>17</v>
      </c>
      <c r="AH52" s="114" t="s">
        <v>18</v>
      </c>
    </row>
    <row r="53" spans="1:36" x14ac:dyDescent="0.25">
      <c r="A53" s="94" t="str">
        <f t="shared" ref="A53:A68" si="65">+A6</f>
        <v>HVEDE</v>
      </c>
      <c r="B53" s="96">
        <f t="shared" ref="B53:B68" si="66">E74/100</f>
        <v>0.3705</v>
      </c>
      <c r="C53" s="109">
        <f t="shared" ref="C53:C68" si="67">+C6</f>
        <v>0.39400000000000002</v>
      </c>
      <c r="D53" s="73">
        <f t="shared" ref="D53" si="68">+B53*C53</f>
        <v>0.145977</v>
      </c>
      <c r="E53" s="99">
        <f t="shared" ref="E53:E68" si="69">E6</f>
        <v>1.18</v>
      </c>
      <c r="F53" s="20">
        <f t="shared" ref="F53" si="70">+B53*E53</f>
        <v>0.43718999999999997</v>
      </c>
      <c r="H53" s="94" t="str">
        <f t="shared" ref="H53:H68" si="71">+A6</f>
        <v>HVEDE</v>
      </c>
      <c r="I53" s="96">
        <f t="shared" ref="I53:I68" si="72">D74/100</f>
        <v>0.4158</v>
      </c>
      <c r="J53" s="109">
        <f t="shared" ref="J53:J68" si="73">+C6</f>
        <v>0.39400000000000002</v>
      </c>
      <c r="K53" s="73">
        <f t="shared" ref="K53" si="74">+I53*J53</f>
        <v>0.1638252</v>
      </c>
      <c r="L53" s="99">
        <f t="shared" ref="L53:L68" si="75">E6</f>
        <v>1.18</v>
      </c>
      <c r="M53" s="20">
        <f t="shared" ref="M53" si="76">+I53*L53</f>
        <v>0.49064399999999997</v>
      </c>
      <c r="O53" s="94" t="str">
        <f t="shared" ref="O53:O68" si="77">+A6</f>
        <v>HVEDE</v>
      </c>
      <c r="P53" s="96">
        <f t="shared" ref="P53:P68" si="78">C74/100</f>
        <v>0.34</v>
      </c>
      <c r="Q53" s="109">
        <f t="shared" ref="Q53:Q68" si="79">+C6</f>
        <v>0.39400000000000002</v>
      </c>
      <c r="R53" s="73">
        <f t="shared" ref="R53" si="80">+P53*Q53</f>
        <v>0.13396000000000002</v>
      </c>
      <c r="S53" s="99">
        <f t="shared" ref="S53:S68" si="81">E6</f>
        <v>1.18</v>
      </c>
      <c r="T53" s="20">
        <f t="shared" ref="T53" si="82">+P53*S53</f>
        <v>0.4012</v>
      </c>
      <c r="V53" s="94" t="str">
        <f t="shared" ref="V53:V68" si="83">+A6</f>
        <v>HVEDE</v>
      </c>
      <c r="W53" s="96">
        <f t="shared" ref="W53:W68" si="84">+B74/100</f>
        <v>0.40720000000000001</v>
      </c>
      <c r="X53" s="109">
        <f t="shared" ref="X53:X68" si="85">+C6</f>
        <v>0.39400000000000002</v>
      </c>
      <c r="Y53" s="73">
        <f t="shared" ref="Y53" si="86">+W53*X53</f>
        <v>0.16043680000000002</v>
      </c>
      <c r="Z53" s="99">
        <f t="shared" ref="Z53:Z68" si="87">E6</f>
        <v>1.18</v>
      </c>
      <c r="AA53" s="20">
        <f t="shared" ref="AA53" si="88">+W53*Z53</f>
        <v>0.48049599999999998</v>
      </c>
      <c r="AC53" s="94" t="str">
        <f t="shared" ref="AC53:AC68" si="89">+A6</f>
        <v>HVEDE</v>
      </c>
      <c r="AD53" s="96">
        <f t="shared" ref="AD53:AD68" si="90">+F74/100</f>
        <v>0.45669999999999999</v>
      </c>
      <c r="AE53" s="109">
        <f t="shared" ref="AE53:AE68" si="91">+C6</f>
        <v>0.39400000000000002</v>
      </c>
      <c r="AF53" s="73">
        <f t="shared" ref="AF53" si="92">+AD53*AE53</f>
        <v>0.17993980000000001</v>
      </c>
      <c r="AG53" s="99">
        <f t="shared" ref="AG53:AG68" si="93">E6</f>
        <v>1.18</v>
      </c>
      <c r="AH53" s="20">
        <f t="shared" ref="AH53" si="94">+AD53*AG53</f>
        <v>0.538906</v>
      </c>
    </row>
    <row r="54" spans="1:36" x14ac:dyDescent="0.25">
      <c r="A54" s="93" t="str">
        <f t="shared" si="65"/>
        <v>BYG,  vår/vinter</v>
      </c>
      <c r="B54" s="97">
        <f t="shared" si="66"/>
        <v>0.27</v>
      </c>
      <c r="C54" s="110">
        <f t="shared" si="67"/>
        <v>0.36199999999999999</v>
      </c>
      <c r="D54" s="37">
        <f t="shared" ref="D54:D68" si="95">+B54*C54</f>
        <v>9.7740000000000007E-2</v>
      </c>
      <c r="E54" s="99">
        <f t="shared" si="69"/>
        <v>1.06</v>
      </c>
      <c r="F54" s="20">
        <f t="shared" ref="F54:F68" si="96">+B54*E54</f>
        <v>0.28620000000000001</v>
      </c>
      <c r="H54" s="93" t="str">
        <f t="shared" si="71"/>
        <v>BYG,  vår/vinter</v>
      </c>
      <c r="I54" s="97">
        <f t="shared" si="72"/>
        <v>0.27</v>
      </c>
      <c r="J54" s="110">
        <f t="shared" si="73"/>
        <v>0.36199999999999999</v>
      </c>
      <c r="K54" s="37">
        <f t="shared" ref="K54:K68" si="97">+I54*J54</f>
        <v>9.7740000000000007E-2</v>
      </c>
      <c r="L54" s="99">
        <f t="shared" si="75"/>
        <v>1.06</v>
      </c>
      <c r="M54" s="20">
        <f t="shared" ref="M54:M68" si="98">+I54*L54</f>
        <v>0.28620000000000001</v>
      </c>
      <c r="O54" s="93" t="str">
        <f t="shared" si="77"/>
        <v>BYG,  vår/vinter</v>
      </c>
      <c r="P54" s="97">
        <f t="shared" si="78"/>
        <v>0.35850000000000004</v>
      </c>
      <c r="Q54" s="110">
        <f t="shared" si="79"/>
        <v>0.36199999999999999</v>
      </c>
      <c r="R54" s="37">
        <f t="shared" ref="R54:R68" si="99">+P54*Q54</f>
        <v>0.129777</v>
      </c>
      <c r="S54" s="99">
        <f t="shared" si="81"/>
        <v>1.06</v>
      </c>
      <c r="T54" s="20">
        <f t="shared" ref="T54:T68" si="100">+P54*S54</f>
        <v>0.38001000000000007</v>
      </c>
      <c r="V54" s="93" t="str">
        <f t="shared" si="83"/>
        <v>BYG,  vår/vinter</v>
      </c>
      <c r="W54" s="97">
        <f t="shared" si="84"/>
        <v>0.34029999999999999</v>
      </c>
      <c r="X54" s="110">
        <f t="shared" si="85"/>
        <v>0.36199999999999999</v>
      </c>
      <c r="Y54" s="37">
        <f t="shared" ref="Y54:Y68" si="101">+W54*X54</f>
        <v>0.1231886</v>
      </c>
      <c r="Z54" s="99">
        <f t="shared" si="87"/>
        <v>1.06</v>
      </c>
      <c r="AA54" s="20">
        <f t="shared" ref="AA54:AA68" si="102">+W54*Z54</f>
        <v>0.36071799999999998</v>
      </c>
      <c r="AC54" s="93" t="str">
        <f t="shared" si="89"/>
        <v>BYG,  vår/vinter</v>
      </c>
      <c r="AD54" s="97">
        <f t="shared" si="90"/>
        <v>0.2157</v>
      </c>
      <c r="AE54" s="110">
        <f t="shared" si="91"/>
        <v>0.36199999999999999</v>
      </c>
      <c r="AF54" s="37">
        <f t="shared" ref="AF54:AF68" si="103">+AD54*AE54</f>
        <v>7.8083399999999997E-2</v>
      </c>
      <c r="AG54" s="99">
        <f t="shared" si="93"/>
        <v>1.06</v>
      </c>
      <c r="AH54" s="20">
        <f t="shared" ref="AH54:AH68" si="104">+AD54*AG54</f>
        <v>0.22864200000000001</v>
      </c>
    </row>
    <row r="55" spans="1:36" x14ac:dyDescent="0.25">
      <c r="A55" s="93" t="str">
        <f t="shared" si="65"/>
        <v>Rug/tritikale</v>
      </c>
      <c r="B55" s="97">
        <f t="shared" si="66"/>
        <v>0.1</v>
      </c>
      <c r="C55" s="110">
        <f t="shared" si="67"/>
        <v>0.36299999999999999</v>
      </c>
      <c r="D55" s="37">
        <f t="shared" si="95"/>
        <v>3.6299999999999999E-2</v>
      </c>
      <c r="E55" s="99">
        <f t="shared" si="69"/>
        <v>1.1299999999999999</v>
      </c>
      <c r="F55" s="20">
        <f t="shared" si="96"/>
        <v>0.11299999999999999</v>
      </c>
      <c r="H55" s="93" t="str">
        <f t="shared" si="71"/>
        <v>Rug/tritikale</v>
      </c>
      <c r="I55" s="97">
        <f t="shared" si="72"/>
        <v>0.1</v>
      </c>
      <c r="J55" s="110">
        <f t="shared" si="73"/>
        <v>0.36299999999999999</v>
      </c>
      <c r="K55" s="37">
        <f t="shared" si="97"/>
        <v>3.6299999999999999E-2</v>
      </c>
      <c r="L55" s="99">
        <f t="shared" si="75"/>
        <v>1.1299999999999999</v>
      </c>
      <c r="M55" s="20">
        <f t="shared" si="98"/>
        <v>0.11299999999999999</v>
      </c>
      <c r="O55" s="93" t="str">
        <f t="shared" si="77"/>
        <v>Rug/tritikale</v>
      </c>
      <c r="P55" s="97">
        <f t="shared" si="78"/>
        <v>0.05</v>
      </c>
      <c r="Q55" s="110">
        <f t="shared" si="79"/>
        <v>0.36299999999999999</v>
      </c>
      <c r="R55" s="37">
        <f t="shared" si="99"/>
        <v>1.8149999999999999E-2</v>
      </c>
      <c r="S55" s="99">
        <f t="shared" si="81"/>
        <v>1.1299999999999999</v>
      </c>
      <c r="T55" s="20">
        <f t="shared" si="100"/>
        <v>5.6499999999999995E-2</v>
      </c>
      <c r="V55" s="93" t="str">
        <f t="shared" si="83"/>
        <v>Rug/tritikale</v>
      </c>
      <c r="W55" s="97">
        <f t="shared" si="84"/>
        <v>8.5000000000000006E-2</v>
      </c>
      <c r="X55" s="110">
        <f t="shared" si="85"/>
        <v>0.36299999999999999</v>
      </c>
      <c r="Y55" s="37">
        <f t="shared" si="101"/>
        <v>3.0855E-2</v>
      </c>
      <c r="Z55" s="99">
        <f t="shared" si="87"/>
        <v>1.1299999999999999</v>
      </c>
      <c r="AA55" s="20">
        <f t="shared" si="102"/>
        <v>9.6049999999999996E-2</v>
      </c>
      <c r="AC55" s="93" t="str">
        <f t="shared" si="89"/>
        <v>Rug/tritikale</v>
      </c>
      <c r="AD55" s="97">
        <f t="shared" si="90"/>
        <v>0</v>
      </c>
      <c r="AE55" s="110">
        <f t="shared" si="91"/>
        <v>0.36299999999999999</v>
      </c>
      <c r="AF55" s="37">
        <f t="shared" si="103"/>
        <v>0</v>
      </c>
      <c r="AG55" s="99">
        <f t="shared" si="93"/>
        <v>1.1299999999999999</v>
      </c>
      <c r="AH55" s="20">
        <f t="shared" si="104"/>
        <v>0</v>
      </c>
    </row>
    <row r="56" spans="1:36" x14ac:dyDescent="0.25">
      <c r="A56" s="93" t="str">
        <f t="shared" si="65"/>
        <v>Valle, gns af alle valletyper</v>
      </c>
      <c r="B56" s="97">
        <f t="shared" si="66"/>
        <v>0</v>
      </c>
      <c r="C56" s="110">
        <f t="shared" si="67"/>
        <v>2.5999999999999999E-2</v>
      </c>
      <c r="D56" s="37">
        <f t="shared" si="95"/>
        <v>0</v>
      </c>
      <c r="E56" s="99">
        <f t="shared" si="69"/>
        <v>0.06</v>
      </c>
      <c r="F56" s="20">
        <f t="shared" si="96"/>
        <v>0</v>
      </c>
      <c r="H56" s="93" t="str">
        <f t="shared" si="71"/>
        <v>Valle, gns af alle valletyper</v>
      </c>
      <c r="I56" s="97">
        <f t="shared" si="72"/>
        <v>0</v>
      </c>
      <c r="J56" s="110">
        <f t="shared" si="73"/>
        <v>2.5999999999999999E-2</v>
      </c>
      <c r="K56" s="37">
        <f t="shared" si="97"/>
        <v>0</v>
      </c>
      <c r="L56" s="99">
        <f t="shared" si="75"/>
        <v>0.06</v>
      </c>
      <c r="M56" s="20">
        <f t="shared" si="98"/>
        <v>0</v>
      </c>
      <c r="O56" s="93" t="str">
        <f t="shared" si="77"/>
        <v>Valle, gns af alle valletyper</v>
      </c>
      <c r="P56" s="97">
        <f t="shared" si="78"/>
        <v>0</v>
      </c>
      <c r="Q56" s="110">
        <f t="shared" si="79"/>
        <v>2.5999999999999999E-2</v>
      </c>
      <c r="R56" s="37">
        <f t="shared" si="99"/>
        <v>0</v>
      </c>
      <c r="S56" s="99">
        <f t="shared" si="81"/>
        <v>0.06</v>
      </c>
      <c r="T56" s="20">
        <f t="shared" si="100"/>
        <v>0</v>
      </c>
      <c r="V56" s="93" t="str">
        <f t="shared" si="83"/>
        <v>Valle, gns af alle valletyper</v>
      </c>
      <c r="W56" s="97">
        <f t="shared" si="84"/>
        <v>0</v>
      </c>
      <c r="X56" s="110">
        <f t="shared" si="85"/>
        <v>2.5999999999999999E-2</v>
      </c>
      <c r="Y56" s="37">
        <f t="shared" si="101"/>
        <v>0</v>
      </c>
      <c r="Z56" s="99">
        <f t="shared" si="87"/>
        <v>0.06</v>
      </c>
      <c r="AA56" s="20">
        <f t="shared" si="102"/>
        <v>0</v>
      </c>
      <c r="AC56" s="93" t="str">
        <f t="shared" si="89"/>
        <v>Valle, gns af alle valletyper</v>
      </c>
      <c r="AD56" s="97">
        <f t="shared" si="90"/>
        <v>0</v>
      </c>
      <c r="AE56" s="110">
        <f t="shared" si="91"/>
        <v>2.5999999999999999E-2</v>
      </c>
      <c r="AF56" s="37">
        <f t="shared" si="103"/>
        <v>0</v>
      </c>
      <c r="AG56" s="99">
        <f t="shared" si="93"/>
        <v>0.06</v>
      </c>
      <c r="AH56" s="20">
        <f t="shared" si="104"/>
        <v>0</v>
      </c>
    </row>
    <row r="57" spans="1:36" x14ac:dyDescent="0.25">
      <c r="A57" s="93" t="str">
        <f t="shared" si="65"/>
        <v>SOJASKRÅFODER,  afskallet toastet</v>
      </c>
      <c r="B57" s="97">
        <f t="shared" si="66"/>
        <v>9.9499999999999991E-2</v>
      </c>
      <c r="C57" s="110">
        <f t="shared" si="67"/>
        <v>0.999</v>
      </c>
      <c r="D57" s="37">
        <f t="shared" si="95"/>
        <v>9.9400499999999989E-2</v>
      </c>
      <c r="E57" s="99">
        <f t="shared" si="69"/>
        <v>0.94</v>
      </c>
      <c r="F57" s="20">
        <f t="shared" si="96"/>
        <v>9.3529999999999988E-2</v>
      </c>
      <c r="H57" s="93" t="str">
        <f t="shared" si="71"/>
        <v>SOJASKRÅFODER,  afskallet toastet</v>
      </c>
      <c r="I57" s="97">
        <f t="shared" si="72"/>
        <v>0.15629999999999999</v>
      </c>
      <c r="J57" s="110">
        <f t="shared" si="73"/>
        <v>0.999</v>
      </c>
      <c r="K57" s="37">
        <f t="shared" si="97"/>
        <v>0.1561437</v>
      </c>
      <c r="L57" s="99">
        <f t="shared" si="75"/>
        <v>0.94</v>
      </c>
      <c r="M57" s="20">
        <f t="shared" si="98"/>
        <v>0.146922</v>
      </c>
      <c r="O57" s="93" t="str">
        <f t="shared" si="77"/>
        <v>SOJASKRÅFODER,  afskallet toastet</v>
      </c>
      <c r="P57" s="97">
        <f t="shared" si="78"/>
        <v>6.9500000000000006E-2</v>
      </c>
      <c r="Q57" s="110">
        <f t="shared" si="79"/>
        <v>0.999</v>
      </c>
      <c r="R57" s="37">
        <f t="shared" si="99"/>
        <v>6.9430500000000006E-2</v>
      </c>
      <c r="S57" s="99">
        <f t="shared" si="81"/>
        <v>0.94</v>
      </c>
      <c r="T57" s="20">
        <f t="shared" si="100"/>
        <v>6.5329999999999999E-2</v>
      </c>
      <c r="V57" s="93" t="str">
        <f t="shared" si="83"/>
        <v>SOJASKRÅFODER,  afskallet toastet</v>
      </c>
      <c r="W57" s="97">
        <f t="shared" si="84"/>
        <v>0.1125</v>
      </c>
      <c r="X57" s="110">
        <f t="shared" si="85"/>
        <v>0.999</v>
      </c>
      <c r="Y57" s="37">
        <f t="shared" si="101"/>
        <v>0.1123875</v>
      </c>
      <c r="Z57" s="99">
        <f t="shared" si="87"/>
        <v>0.94</v>
      </c>
      <c r="AA57" s="20">
        <f t="shared" si="102"/>
        <v>0.10575</v>
      </c>
      <c r="AC57" s="93" t="str">
        <f t="shared" si="89"/>
        <v>SOJASKRÅFODER,  afskallet toastet</v>
      </c>
      <c r="AD57" s="97">
        <f t="shared" si="90"/>
        <v>0.13</v>
      </c>
      <c r="AE57" s="110">
        <f t="shared" si="91"/>
        <v>0.999</v>
      </c>
      <c r="AF57" s="37">
        <f t="shared" si="103"/>
        <v>0.12987000000000001</v>
      </c>
      <c r="AG57" s="99">
        <f t="shared" si="93"/>
        <v>0.94</v>
      </c>
      <c r="AH57" s="20">
        <f t="shared" si="104"/>
        <v>0.1222</v>
      </c>
    </row>
    <row r="58" spans="1:36" x14ac:dyDescent="0.25">
      <c r="A58" s="93" t="str">
        <f t="shared" si="65"/>
        <v>RAPSSKRÅFODER,  lavt glukosinolatindhold</v>
      </c>
      <c r="B58" s="97">
        <f t="shared" si="66"/>
        <v>0.02</v>
      </c>
      <c r="C58" s="110">
        <f t="shared" si="67"/>
        <v>0.46700000000000003</v>
      </c>
      <c r="D58" s="37">
        <f t="shared" si="95"/>
        <v>9.3400000000000011E-3</v>
      </c>
      <c r="E58" s="99">
        <f t="shared" si="69"/>
        <v>0.74</v>
      </c>
      <c r="F58" s="20">
        <f t="shared" si="96"/>
        <v>1.4800000000000001E-2</v>
      </c>
      <c r="H58" s="93" t="str">
        <f t="shared" si="71"/>
        <v>RAPSSKRÅFODER,  lavt glukosinolatindhold</v>
      </c>
      <c r="I58" s="97">
        <f t="shared" si="72"/>
        <v>0</v>
      </c>
      <c r="J58" s="110">
        <f t="shared" si="73"/>
        <v>0.46700000000000003</v>
      </c>
      <c r="K58" s="37">
        <f t="shared" si="97"/>
        <v>0</v>
      </c>
      <c r="L58" s="99">
        <f t="shared" si="75"/>
        <v>0.74</v>
      </c>
      <c r="M58" s="20">
        <f t="shared" si="98"/>
        <v>0</v>
      </c>
      <c r="O58" s="93" t="str">
        <f t="shared" si="77"/>
        <v>RAPSSKRÅFODER,  lavt glukosinolatindhold</v>
      </c>
      <c r="P58" s="97">
        <f t="shared" si="78"/>
        <v>0.02</v>
      </c>
      <c r="Q58" s="110">
        <f t="shared" si="79"/>
        <v>0.46700000000000003</v>
      </c>
      <c r="R58" s="37">
        <f t="shared" si="99"/>
        <v>9.3400000000000011E-3</v>
      </c>
      <c r="S58" s="99">
        <f t="shared" si="81"/>
        <v>0.74</v>
      </c>
      <c r="T58" s="20">
        <f t="shared" si="100"/>
        <v>1.4800000000000001E-2</v>
      </c>
      <c r="V58" s="93" t="str">
        <f t="shared" si="83"/>
        <v>RAPSSKRÅFODER,  lavt glukosinolatindhold</v>
      </c>
      <c r="W58" s="97">
        <f t="shared" si="84"/>
        <v>0</v>
      </c>
      <c r="X58" s="110">
        <f t="shared" si="85"/>
        <v>0.46700000000000003</v>
      </c>
      <c r="Y58" s="37">
        <f t="shared" si="101"/>
        <v>0</v>
      </c>
      <c r="Z58" s="99">
        <f t="shared" si="87"/>
        <v>0.74</v>
      </c>
      <c r="AA58" s="20">
        <f t="shared" si="102"/>
        <v>0</v>
      </c>
      <c r="AC58" s="93" t="str">
        <f t="shared" si="89"/>
        <v>RAPSSKRÅFODER,  lavt glukosinolatindhold</v>
      </c>
      <c r="AD58" s="97">
        <f t="shared" si="90"/>
        <v>1.3000000000000001E-2</v>
      </c>
      <c r="AE58" s="110">
        <f t="shared" si="91"/>
        <v>0.46700000000000003</v>
      </c>
      <c r="AF58" s="37">
        <f t="shared" si="103"/>
        <v>6.0710000000000009E-3</v>
      </c>
      <c r="AG58" s="99">
        <f t="shared" si="93"/>
        <v>0.74</v>
      </c>
      <c r="AH58" s="20">
        <f t="shared" si="104"/>
        <v>9.6200000000000001E-3</v>
      </c>
    </row>
    <row r="59" spans="1:36" x14ac:dyDescent="0.25">
      <c r="A59" s="93" t="str">
        <f t="shared" si="65"/>
        <v>SOLSIKKESKRÅFODER,  afskallet</v>
      </c>
      <c r="B59" s="97">
        <f t="shared" si="66"/>
        <v>7.0000000000000007E-2</v>
      </c>
      <c r="C59" s="110">
        <f t="shared" si="67"/>
        <v>0.92100000000000004</v>
      </c>
      <c r="D59" s="37">
        <f t="shared" si="95"/>
        <v>6.4470000000000013E-2</v>
      </c>
      <c r="E59" s="99">
        <f t="shared" si="69"/>
        <v>0.65</v>
      </c>
      <c r="F59" s="20">
        <f t="shared" si="96"/>
        <v>4.5500000000000006E-2</v>
      </c>
      <c r="H59" s="93" t="str">
        <f t="shared" si="71"/>
        <v>SOLSIKKESKRÅFODER,  afskallet</v>
      </c>
      <c r="I59" s="97">
        <f t="shared" si="72"/>
        <v>0.02</v>
      </c>
      <c r="J59" s="110">
        <f t="shared" si="73"/>
        <v>0.92100000000000004</v>
      </c>
      <c r="K59" s="37">
        <f t="shared" si="97"/>
        <v>1.8420000000000002E-2</v>
      </c>
      <c r="L59" s="99">
        <f t="shared" si="75"/>
        <v>0.65</v>
      </c>
      <c r="M59" s="20">
        <f t="shared" si="98"/>
        <v>1.3000000000000001E-2</v>
      </c>
      <c r="O59" s="93" t="str">
        <f t="shared" si="77"/>
        <v>SOLSIKKESKRÅFODER,  afskallet</v>
      </c>
      <c r="P59" s="97">
        <f t="shared" si="78"/>
        <v>3.7499999999999999E-2</v>
      </c>
      <c r="Q59" s="110">
        <f t="shared" si="79"/>
        <v>0.92100000000000004</v>
      </c>
      <c r="R59" s="37">
        <f t="shared" si="99"/>
        <v>3.4537499999999999E-2</v>
      </c>
      <c r="S59" s="99">
        <f t="shared" si="81"/>
        <v>0.65</v>
      </c>
      <c r="T59" s="20">
        <f t="shared" si="100"/>
        <v>2.4375000000000001E-2</v>
      </c>
      <c r="V59" s="93" t="str">
        <f t="shared" si="83"/>
        <v>SOLSIKKESKRÅFODER,  afskallet</v>
      </c>
      <c r="W59" s="97">
        <f t="shared" si="84"/>
        <v>0</v>
      </c>
      <c r="X59" s="110">
        <f t="shared" si="85"/>
        <v>0.92100000000000004</v>
      </c>
      <c r="Y59" s="37">
        <f t="shared" si="101"/>
        <v>0</v>
      </c>
      <c r="Z59" s="99">
        <f t="shared" si="87"/>
        <v>0.65</v>
      </c>
      <c r="AA59" s="20">
        <f t="shared" si="102"/>
        <v>0</v>
      </c>
      <c r="AC59" s="93" t="str">
        <f t="shared" si="89"/>
        <v>SOLSIKKESKRÅFODER,  afskallet</v>
      </c>
      <c r="AD59" s="97">
        <f t="shared" si="90"/>
        <v>0</v>
      </c>
      <c r="AE59" s="110">
        <f t="shared" si="91"/>
        <v>0.92100000000000004</v>
      </c>
      <c r="AF59" s="37">
        <f t="shared" si="103"/>
        <v>0</v>
      </c>
      <c r="AG59" s="99">
        <f t="shared" si="93"/>
        <v>0.65</v>
      </c>
      <c r="AH59" s="20">
        <f t="shared" si="104"/>
        <v>0</v>
      </c>
    </row>
    <row r="60" spans="1:36" x14ac:dyDescent="0.25">
      <c r="A60" s="93" t="str">
        <f t="shared" si="65"/>
        <v>Hestebønner</v>
      </c>
      <c r="B60" s="97">
        <f t="shared" si="66"/>
        <v>0</v>
      </c>
      <c r="C60" s="110">
        <f t="shared" si="67"/>
        <v>0.33</v>
      </c>
      <c r="D60" s="37">
        <f t="shared" si="95"/>
        <v>0</v>
      </c>
      <c r="E60" s="99">
        <f t="shared" si="69"/>
        <v>0.85</v>
      </c>
      <c r="F60" s="20">
        <f t="shared" si="96"/>
        <v>0</v>
      </c>
      <c r="H60" s="93" t="str">
        <f t="shared" si="71"/>
        <v>Hestebønner</v>
      </c>
      <c r="I60" s="97">
        <f t="shared" si="72"/>
        <v>0</v>
      </c>
      <c r="J60" s="110">
        <f t="shared" si="73"/>
        <v>0.33</v>
      </c>
      <c r="K60" s="37">
        <f t="shared" si="97"/>
        <v>0</v>
      </c>
      <c r="L60" s="99">
        <f t="shared" si="75"/>
        <v>0.85</v>
      </c>
      <c r="M60" s="20">
        <f t="shared" si="98"/>
        <v>0</v>
      </c>
      <c r="O60" s="93" t="str">
        <f t="shared" si="77"/>
        <v>Hestebønner</v>
      </c>
      <c r="P60" s="97">
        <f t="shared" si="78"/>
        <v>0</v>
      </c>
      <c r="Q60" s="110">
        <f t="shared" si="79"/>
        <v>0.33</v>
      </c>
      <c r="R60" s="37">
        <f t="shared" si="99"/>
        <v>0</v>
      </c>
      <c r="S60" s="99">
        <f t="shared" si="81"/>
        <v>0.85</v>
      </c>
      <c r="T60" s="20">
        <f t="shared" si="100"/>
        <v>0</v>
      </c>
      <c r="V60" s="93" t="str">
        <f t="shared" si="83"/>
        <v>Hestebønner</v>
      </c>
      <c r="W60" s="97">
        <f t="shared" si="84"/>
        <v>0</v>
      </c>
      <c r="X60" s="110">
        <f t="shared" si="85"/>
        <v>0.33</v>
      </c>
      <c r="Y60" s="37">
        <f t="shared" si="101"/>
        <v>0</v>
      </c>
      <c r="Z60" s="99">
        <f t="shared" si="87"/>
        <v>0.85</v>
      </c>
      <c r="AA60" s="20">
        <f t="shared" si="102"/>
        <v>0</v>
      </c>
      <c r="AC60" s="93" t="str">
        <f t="shared" si="89"/>
        <v>Hestebønner</v>
      </c>
      <c r="AD60" s="97">
        <f t="shared" si="90"/>
        <v>0</v>
      </c>
      <c r="AE60" s="110">
        <f t="shared" si="91"/>
        <v>0.33</v>
      </c>
      <c r="AF60" s="37">
        <f t="shared" si="103"/>
        <v>0</v>
      </c>
      <c r="AG60" s="99">
        <f t="shared" si="93"/>
        <v>0.85</v>
      </c>
      <c r="AH60" s="20">
        <f t="shared" si="104"/>
        <v>0</v>
      </c>
    </row>
    <row r="61" spans="1:36" x14ac:dyDescent="0.25">
      <c r="A61" s="93" t="str">
        <f t="shared" si="65"/>
        <v>HVEDEKLID</v>
      </c>
      <c r="B61" s="97">
        <f t="shared" si="66"/>
        <v>0.02</v>
      </c>
      <c r="C61" s="110">
        <f t="shared" si="67"/>
        <v>0.36599999999999999</v>
      </c>
      <c r="D61" s="37">
        <f t="shared" si="95"/>
        <v>7.3200000000000001E-3</v>
      </c>
      <c r="E61" s="99">
        <f t="shared" si="69"/>
        <v>0.62</v>
      </c>
      <c r="F61" s="20">
        <f t="shared" si="96"/>
        <v>1.24E-2</v>
      </c>
      <c r="H61" s="93" t="str">
        <f t="shared" si="71"/>
        <v>HVEDEKLID</v>
      </c>
      <c r="I61" s="97">
        <f t="shared" si="72"/>
        <v>0</v>
      </c>
      <c r="J61" s="110">
        <f t="shared" si="73"/>
        <v>0.36599999999999999</v>
      </c>
      <c r="K61" s="37">
        <f t="shared" si="97"/>
        <v>0</v>
      </c>
      <c r="L61" s="99">
        <f t="shared" si="75"/>
        <v>0.62</v>
      </c>
      <c r="M61" s="20">
        <f t="shared" si="98"/>
        <v>0</v>
      </c>
      <c r="O61" s="93" t="str">
        <f t="shared" si="77"/>
        <v>HVEDEKLID</v>
      </c>
      <c r="P61" s="97">
        <f t="shared" si="78"/>
        <v>2.8500000000000001E-2</v>
      </c>
      <c r="Q61" s="110">
        <f t="shared" si="79"/>
        <v>0.36599999999999999</v>
      </c>
      <c r="R61" s="37">
        <f t="shared" si="99"/>
        <v>1.0430999999999999E-2</v>
      </c>
      <c r="S61" s="99">
        <f t="shared" si="81"/>
        <v>0.62</v>
      </c>
      <c r="T61" s="20">
        <f t="shared" si="100"/>
        <v>1.7670000000000002E-2</v>
      </c>
      <c r="V61" s="93" t="str">
        <f t="shared" si="83"/>
        <v>HVEDEKLID</v>
      </c>
      <c r="W61" s="97">
        <f t="shared" si="84"/>
        <v>0</v>
      </c>
      <c r="X61" s="110">
        <f t="shared" si="85"/>
        <v>0.36599999999999999</v>
      </c>
      <c r="Y61" s="37">
        <f t="shared" si="101"/>
        <v>0</v>
      </c>
      <c r="Z61" s="99">
        <f t="shared" si="87"/>
        <v>0.62</v>
      </c>
      <c r="AA61" s="20">
        <f t="shared" si="102"/>
        <v>0</v>
      </c>
      <c r="AC61" s="93" t="str">
        <f t="shared" si="89"/>
        <v>HVEDEKLID</v>
      </c>
      <c r="AD61" s="97">
        <f t="shared" si="90"/>
        <v>0</v>
      </c>
      <c r="AE61" s="110">
        <f t="shared" si="91"/>
        <v>0.36599999999999999</v>
      </c>
      <c r="AF61" s="37">
        <f t="shared" si="103"/>
        <v>0</v>
      </c>
      <c r="AG61" s="99">
        <f t="shared" si="93"/>
        <v>0.62</v>
      </c>
      <c r="AH61" s="20">
        <f t="shared" si="104"/>
        <v>0</v>
      </c>
    </row>
    <row r="62" spans="1:36" x14ac:dyDescent="0.25">
      <c r="A62" s="93" t="str">
        <f t="shared" si="65"/>
        <v>VEGETABILSK OLIE OG FEDTSTOF, Palme</v>
      </c>
      <c r="B62" s="97">
        <f t="shared" si="66"/>
        <v>0.01</v>
      </c>
      <c r="C62" s="110">
        <f t="shared" si="67"/>
        <v>6.2320000000000002</v>
      </c>
      <c r="D62" s="37">
        <f t="shared" si="95"/>
        <v>6.232E-2</v>
      </c>
      <c r="E62" s="99">
        <f t="shared" si="69"/>
        <v>3.81</v>
      </c>
      <c r="F62" s="20">
        <f t="shared" si="96"/>
        <v>3.8100000000000002E-2</v>
      </c>
      <c r="H62" s="93" t="str">
        <f t="shared" si="71"/>
        <v>VEGETABILSK OLIE OG FEDTSTOF, Palme</v>
      </c>
      <c r="I62" s="97">
        <f t="shared" si="72"/>
        <v>7.9000000000000008E-3</v>
      </c>
      <c r="J62" s="110">
        <f t="shared" si="73"/>
        <v>6.2320000000000002</v>
      </c>
      <c r="K62" s="37">
        <f t="shared" si="97"/>
        <v>4.9232800000000007E-2</v>
      </c>
      <c r="L62" s="99">
        <f t="shared" si="75"/>
        <v>3.81</v>
      </c>
      <c r="M62" s="20">
        <f t="shared" si="98"/>
        <v>3.0099000000000004E-2</v>
      </c>
      <c r="O62" s="93" t="str">
        <f t="shared" si="77"/>
        <v>VEGETABILSK OLIE OG FEDTSTOF, Palme</v>
      </c>
      <c r="P62" s="97">
        <f t="shared" si="78"/>
        <v>0.01</v>
      </c>
      <c r="Q62" s="110">
        <f t="shared" si="79"/>
        <v>6.2320000000000002</v>
      </c>
      <c r="R62" s="37">
        <f t="shared" si="99"/>
        <v>6.232E-2</v>
      </c>
      <c r="S62" s="99">
        <f t="shared" si="81"/>
        <v>3.81</v>
      </c>
      <c r="T62" s="20">
        <f t="shared" si="100"/>
        <v>3.8100000000000002E-2</v>
      </c>
      <c r="V62" s="93" t="str">
        <f t="shared" si="83"/>
        <v>VEGETABILSK OLIE OG FEDTSTOF, Palme</v>
      </c>
      <c r="W62" s="97">
        <f t="shared" si="84"/>
        <v>5.0000000000000001E-3</v>
      </c>
      <c r="X62" s="110">
        <f t="shared" si="85"/>
        <v>6.2320000000000002</v>
      </c>
      <c r="Y62" s="37">
        <f t="shared" si="101"/>
        <v>3.116E-2</v>
      </c>
      <c r="Z62" s="99">
        <f t="shared" si="87"/>
        <v>3.81</v>
      </c>
      <c r="AA62" s="20">
        <f t="shared" si="102"/>
        <v>1.9050000000000001E-2</v>
      </c>
      <c r="AC62" s="93" t="str">
        <f t="shared" si="89"/>
        <v>VEGETABILSK OLIE OG FEDTSTOF, Palme</v>
      </c>
      <c r="AD62" s="97">
        <f t="shared" si="90"/>
        <v>0.02</v>
      </c>
      <c r="AE62" s="110">
        <f t="shared" si="91"/>
        <v>6.2320000000000002</v>
      </c>
      <c r="AF62" s="37">
        <f t="shared" si="103"/>
        <v>0.12464</v>
      </c>
      <c r="AG62" s="99">
        <f t="shared" si="93"/>
        <v>3.81</v>
      </c>
      <c r="AH62" s="20">
        <f t="shared" si="104"/>
        <v>7.6200000000000004E-2</v>
      </c>
    </row>
    <row r="63" spans="1:36" x14ac:dyDescent="0.25">
      <c r="A63" s="93" t="str">
        <f t="shared" si="65"/>
        <v>SOJA/Raps olie</v>
      </c>
      <c r="B63" s="97">
        <f t="shared" si="66"/>
        <v>0</v>
      </c>
      <c r="C63" s="110">
        <f t="shared" si="67"/>
        <v>1.92</v>
      </c>
      <c r="D63" s="37">
        <f t="shared" si="95"/>
        <v>0</v>
      </c>
      <c r="E63" s="99">
        <f t="shared" si="69"/>
        <v>4</v>
      </c>
      <c r="F63" s="20">
        <f t="shared" si="96"/>
        <v>0</v>
      </c>
      <c r="H63" s="93" t="str">
        <f t="shared" si="71"/>
        <v>SOJA/Raps olie</v>
      </c>
      <c r="I63" s="97">
        <f t="shared" si="72"/>
        <v>0</v>
      </c>
      <c r="J63" s="110">
        <f t="shared" si="73"/>
        <v>1.92</v>
      </c>
      <c r="K63" s="37">
        <f t="shared" si="97"/>
        <v>0</v>
      </c>
      <c r="L63" s="99">
        <f t="shared" si="75"/>
        <v>4</v>
      </c>
      <c r="M63" s="20">
        <f t="shared" si="98"/>
        <v>0</v>
      </c>
      <c r="O63" s="93" t="str">
        <f t="shared" si="77"/>
        <v>SOJA/Raps olie</v>
      </c>
      <c r="P63" s="97">
        <f t="shared" si="78"/>
        <v>6.0000000000000001E-3</v>
      </c>
      <c r="Q63" s="110">
        <f t="shared" si="79"/>
        <v>1.92</v>
      </c>
      <c r="R63" s="37">
        <f t="shared" si="99"/>
        <v>1.1519999999999999E-2</v>
      </c>
      <c r="S63" s="99">
        <f t="shared" si="81"/>
        <v>4</v>
      </c>
      <c r="T63" s="20">
        <f t="shared" si="100"/>
        <v>2.4E-2</v>
      </c>
      <c r="V63" s="93" t="str">
        <f t="shared" si="83"/>
        <v>SOJA/Raps olie</v>
      </c>
      <c r="W63" s="97">
        <f t="shared" si="84"/>
        <v>0</v>
      </c>
      <c r="X63" s="110">
        <f t="shared" si="85"/>
        <v>1.92</v>
      </c>
      <c r="Y63" s="37">
        <f t="shared" si="101"/>
        <v>0</v>
      </c>
      <c r="Z63" s="99">
        <f t="shared" si="87"/>
        <v>4</v>
      </c>
      <c r="AA63" s="20">
        <f t="shared" si="102"/>
        <v>0</v>
      </c>
      <c r="AC63" s="93" t="str">
        <f t="shared" si="89"/>
        <v>SOJA/Raps olie</v>
      </c>
      <c r="AD63" s="97">
        <f t="shared" si="90"/>
        <v>0</v>
      </c>
      <c r="AE63" s="110">
        <f t="shared" si="91"/>
        <v>1.92</v>
      </c>
      <c r="AF63" s="37">
        <f t="shared" si="103"/>
        <v>0</v>
      </c>
      <c r="AG63" s="99">
        <f t="shared" si="93"/>
        <v>4</v>
      </c>
      <c r="AH63" s="20">
        <f t="shared" si="104"/>
        <v>0</v>
      </c>
    </row>
    <row r="64" spans="1:36" x14ac:dyDescent="0.25">
      <c r="A64" s="93" t="str">
        <f t="shared" si="65"/>
        <v>SUKKERROEMELASSE</v>
      </c>
      <c r="B64" s="97">
        <f t="shared" si="66"/>
        <v>0.01</v>
      </c>
      <c r="C64" s="110">
        <f t="shared" si="67"/>
        <v>0.19</v>
      </c>
      <c r="D64" s="37">
        <f t="shared" si="95"/>
        <v>1.9E-3</v>
      </c>
      <c r="E64" s="99">
        <f t="shared" si="69"/>
        <v>0.68</v>
      </c>
      <c r="F64" s="20">
        <f t="shared" si="96"/>
        <v>6.8000000000000005E-3</v>
      </c>
      <c r="H64" s="93" t="str">
        <f t="shared" si="71"/>
        <v>SUKKERROEMELASSE</v>
      </c>
      <c r="I64" s="97">
        <f t="shared" si="72"/>
        <v>0</v>
      </c>
      <c r="J64" s="110">
        <f t="shared" si="73"/>
        <v>0.19</v>
      </c>
      <c r="K64" s="37">
        <f t="shared" si="97"/>
        <v>0</v>
      </c>
      <c r="L64" s="99">
        <f t="shared" si="75"/>
        <v>0.68</v>
      </c>
      <c r="M64" s="20">
        <f t="shared" si="98"/>
        <v>0</v>
      </c>
      <c r="O64" s="93" t="str">
        <f t="shared" si="77"/>
        <v>SUKKERROEMELASSE</v>
      </c>
      <c r="P64" s="97">
        <f t="shared" si="78"/>
        <v>0.01</v>
      </c>
      <c r="Q64" s="110">
        <f t="shared" si="79"/>
        <v>0.19</v>
      </c>
      <c r="R64" s="37">
        <f t="shared" si="99"/>
        <v>1.9E-3</v>
      </c>
      <c r="S64" s="99">
        <f t="shared" si="81"/>
        <v>0.68</v>
      </c>
      <c r="T64" s="20">
        <f t="shared" si="100"/>
        <v>6.8000000000000005E-3</v>
      </c>
      <c r="V64" s="93" t="str">
        <f t="shared" si="83"/>
        <v>SUKKERROEMELASSE</v>
      </c>
      <c r="W64" s="97">
        <f t="shared" si="84"/>
        <v>0</v>
      </c>
      <c r="X64" s="110">
        <f t="shared" si="85"/>
        <v>0.19</v>
      </c>
      <c r="Y64" s="37">
        <f t="shared" si="101"/>
        <v>0</v>
      </c>
      <c r="Z64" s="99">
        <f t="shared" si="87"/>
        <v>0.68</v>
      </c>
      <c r="AA64" s="20">
        <f t="shared" si="102"/>
        <v>0</v>
      </c>
      <c r="AC64" s="93" t="str">
        <f t="shared" si="89"/>
        <v>SUKKERROEMELASSE</v>
      </c>
      <c r="AD64" s="97">
        <f t="shared" si="90"/>
        <v>0</v>
      </c>
      <c r="AE64" s="110">
        <f t="shared" si="91"/>
        <v>0.19</v>
      </c>
      <c r="AF64" s="37">
        <f t="shared" si="103"/>
        <v>0</v>
      </c>
      <c r="AG64" s="99">
        <f t="shared" si="93"/>
        <v>0.68</v>
      </c>
      <c r="AH64" s="20">
        <f t="shared" si="104"/>
        <v>0</v>
      </c>
    </row>
    <row r="65" spans="1:43" x14ac:dyDescent="0.25">
      <c r="A65" s="93" t="str">
        <f t="shared" si="65"/>
        <v>Fiskemel</v>
      </c>
      <c r="B65" s="97">
        <f t="shared" si="66"/>
        <v>0</v>
      </c>
      <c r="C65" s="110">
        <f t="shared" si="67"/>
        <v>1.4730000000000001</v>
      </c>
      <c r="D65" s="37">
        <f t="shared" si="95"/>
        <v>0</v>
      </c>
      <c r="E65" s="99">
        <f t="shared" si="69"/>
        <v>1.1599999999999999</v>
      </c>
      <c r="F65" s="20">
        <f t="shared" si="96"/>
        <v>0</v>
      </c>
      <c r="H65" s="93" t="str">
        <f t="shared" si="71"/>
        <v>Fiskemel</v>
      </c>
      <c r="I65" s="97">
        <f t="shared" si="72"/>
        <v>0</v>
      </c>
      <c r="J65" s="110">
        <f t="shared" si="73"/>
        <v>1.4730000000000001</v>
      </c>
      <c r="K65" s="37">
        <f t="shared" si="97"/>
        <v>0</v>
      </c>
      <c r="L65" s="99">
        <f t="shared" si="75"/>
        <v>1.1599999999999999</v>
      </c>
      <c r="M65" s="20">
        <f t="shared" si="98"/>
        <v>0</v>
      </c>
      <c r="O65" s="93" t="str">
        <f t="shared" si="77"/>
        <v>Fiskemel</v>
      </c>
      <c r="P65" s="97">
        <f t="shared" si="78"/>
        <v>0</v>
      </c>
      <c r="Q65" s="110">
        <f t="shared" si="79"/>
        <v>1.4730000000000001</v>
      </c>
      <c r="R65" s="37">
        <f t="shared" si="99"/>
        <v>0</v>
      </c>
      <c r="S65" s="99">
        <f t="shared" si="81"/>
        <v>1.1599999999999999</v>
      </c>
      <c r="T65" s="20">
        <f t="shared" si="100"/>
        <v>0</v>
      </c>
      <c r="V65" s="93" t="str">
        <f t="shared" si="83"/>
        <v>Fiskemel</v>
      </c>
      <c r="W65" s="97">
        <f t="shared" si="84"/>
        <v>0</v>
      </c>
      <c r="X65" s="110">
        <f t="shared" si="85"/>
        <v>1.4730000000000001</v>
      </c>
      <c r="Y65" s="37">
        <f t="shared" si="101"/>
        <v>0</v>
      </c>
      <c r="Z65" s="99">
        <f t="shared" si="87"/>
        <v>1.1599999999999999</v>
      </c>
      <c r="AA65" s="20">
        <f t="shared" si="102"/>
        <v>0</v>
      </c>
      <c r="AC65" s="93" t="str">
        <f t="shared" si="89"/>
        <v>Fiskemel</v>
      </c>
      <c r="AD65" s="97">
        <f t="shared" si="90"/>
        <v>5.6500000000000002E-2</v>
      </c>
      <c r="AE65" s="110">
        <f t="shared" si="91"/>
        <v>1.4730000000000001</v>
      </c>
      <c r="AF65" s="37">
        <f t="shared" si="103"/>
        <v>8.3224500000000007E-2</v>
      </c>
      <c r="AG65" s="99">
        <f t="shared" si="93"/>
        <v>1.1599999999999999</v>
      </c>
      <c r="AH65" s="20">
        <f t="shared" si="104"/>
        <v>6.5540000000000001E-2</v>
      </c>
    </row>
    <row r="66" spans="1:43" x14ac:dyDescent="0.25">
      <c r="A66" s="93" t="str">
        <f t="shared" si="65"/>
        <v>Skummetmælkspulver</v>
      </c>
      <c r="B66" s="97">
        <f t="shared" si="66"/>
        <v>0</v>
      </c>
      <c r="C66" s="110">
        <f t="shared" si="67"/>
        <v>7.8760000000000003</v>
      </c>
      <c r="D66" s="37">
        <f t="shared" si="95"/>
        <v>0</v>
      </c>
      <c r="E66" s="99">
        <f t="shared" si="69"/>
        <v>1.29</v>
      </c>
      <c r="F66" s="20">
        <f t="shared" si="96"/>
        <v>0</v>
      </c>
      <c r="H66" s="93" t="str">
        <f t="shared" si="71"/>
        <v>Skummetmælkspulver</v>
      </c>
      <c r="I66" s="97">
        <f t="shared" si="72"/>
        <v>0</v>
      </c>
      <c r="J66" s="110">
        <f t="shared" si="73"/>
        <v>7.8760000000000003</v>
      </c>
      <c r="K66" s="37">
        <f t="shared" si="97"/>
        <v>0</v>
      </c>
      <c r="L66" s="99">
        <f t="shared" si="75"/>
        <v>1.29</v>
      </c>
      <c r="M66" s="20">
        <f t="shared" si="98"/>
        <v>0</v>
      </c>
      <c r="O66" s="93" t="str">
        <f t="shared" si="77"/>
        <v>Skummetmælkspulver</v>
      </c>
      <c r="P66" s="97">
        <f t="shared" si="78"/>
        <v>0</v>
      </c>
      <c r="Q66" s="110">
        <f t="shared" si="79"/>
        <v>7.8760000000000003</v>
      </c>
      <c r="R66" s="37">
        <f t="shared" si="99"/>
        <v>0</v>
      </c>
      <c r="S66" s="99">
        <f t="shared" si="81"/>
        <v>1.29</v>
      </c>
      <c r="T66" s="20">
        <f t="shared" si="100"/>
        <v>0</v>
      </c>
      <c r="V66" s="93" t="str">
        <f t="shared" si="83"/>
        <v>Skummetmælkspulver</v>
      </c>
      <c r="W66" s="97">
        <f t="shared" si="84"/>
        <v>0</v>
      </c>
      <c r="X66" s="110">
        <f t="shared" si="85"/>
        <v>7.8760000000000003</v>
      </c>
      <c r="Y66" s="37">
        <f t="shared" si="101"/>
        <v>0</v>
      </c>
      <c r="Z66" s="99">
        <f t="shared" si="87"/>
        <v>1.29</v>
      </c>
      <c r="AA66" s="20">
        <f t="shared" si="102"/>
        <v>0</v>
      </c>
      <c r="AC66" s="93" t="str">
        <f t="shared" si="89"/>
        <v>Skummetmælkspulver</v>
      </c>
      <c r="AD66" s="97">
        <f t="shared" si="90"/>
        <v>0.05</v>
      </c>
      <c r="AE66" s="110">
        <f t="shared" si="91"/>
        <v>7.8760000000000003</v>
      </c>
      <c r="AF66" s="37">
        <f t="shared" si="103"/>
        <v>0.39380000000000004</v>
      </c>
      <c r="AG66" s="99">
        <f t="shared" si="93"/>
        <v>1.29</v>
      </c>
      <c r="AH66" s="20">
        <f t="shared" si="104"/>
        <v>6.4500000000000002E-2</v>
      </c>
    </row>
    <row r="67" spans="1:43" x14ac:dyDescent="0.25">
      <c r="A67" s="93" t="str">
        <f t="shared" si="65"/>
        <v>Mineralsk foderblanding</v>
      </c>
      <c r="B67" s="97">
        <f t="shared" si="66"/>
        <v>0.03</v>
      </c>
      <c r="C67" s="110">
        <f t="shared" si="67"/>
        <v>1.31</v>
      </c>
      <c r="D67" s="37">
        <f t="shared" si="95"/>
        <v>3.9300000000000002E-2</v>
      </c>
      <c r="E67" s="99">
        <v>0.2</v>
      </c>
      <c r="F67" s="20">
        <f t="shared" si="96"/>
        <v>6.0000000000000001E-3</v>
      </c>
      <c r="H67" s="93" t="str">
        <f t="shared" si="71"/>
        <v>Mineralsk foderblanding</v>
      </c>
      <c r="I67" s="97">
        <f t="shared" si="72"/>
        <v>0.03</v>
      </c>
      <c r="J67" s="110">
        <f t="shared" si="73"/>
        <v>1.31</v>
      </c>
      <c r="K67" s="37">
        <f t="shared" si="97"/>
        <v>3.9300000000000002E-2</v>
      </c>
      <c r="L67" s="99">
        <f t="shared" si="75"/>
        <v>0.2</v>
      </c>
      <c r="M67" s="20">
        <f t="shared" si="98"/>
        <v>6.0000000000000001E-3</v>
      </c>
      <c r="O67" s="93" t="str">
        <f t="shared" si="77"/>
        <v>Mineralsk foderblanding</v>
      </c>
      <c r="P67" s="97">
        <f t="shared" si="78"/>
        <v>0.03</v>
      </c>
      <c r="Q67" s="110">
        <f t="shared" si="79"/>
        <v>1.31</v>
      </c>
      <c r="R67" s="37">
        <f t="shared" si="99"/>
        <v>3.9300000000000002E-2</v>
      </c>
      <c r="S67" s="99">
        <f t="shared" si="81"/>
        <v>0.2</v>
      </c>
      <c r="T67" s="20">
        <f t="shared" si="100"/>
        <v>6.0000000000000001E-3</v>
      </c>
      <c r="V67" s="93" t="str">
        <f t="shared" si="83"/>
        <v>Mineralsk foderblanding</v>
      </c>
      <c r="W67" s="97">
        <f t="shared" si="84"/>
        <v>0.03</v>
      </c>
      <c r="X67" s="110">
        <f t="shared" si="85"/>
        <v>1.31</v>
      </c>
      <c r="Y67" s="37">
        <f t="shared" si="101"/>
        <v>3.9300000000000002E-2</v>
      </c>
      <c r="Z67" s="99">
        <f t="shared" si="87"/>
        <v>0.2</v>
      </c>
      <c r="AA67" s="20">
        <f t="shared" si="102"/>
        <v>6.0000000000000001E-3</v>
      </c>
      <c r="AC67" s="93" t="str">
        <f t="shared" si="89"/>
        <v>Mineralsk foderblanding</v>
      </c>
      <c r="AD67" s="97">
        <f t="shared" si="90"/>
        <v>0.04</v>
      </c>
      <c r="AE67" s="110">
        <f t="shared" si="91"/>
        <v>1.31</v>
      </c>
      <c r="AF67" s="37">
        <f t="shared" si="103"/>
        <v>5.2400000000000002E-2</v>
      </c>
      <c r="AG67" s="99">
        <f t="shared" si="93"/>
        <v>0.2</v>
      </c>
      <c r="AH67" s="20">
        <f t="shared" si="104"/>
        <v>8.0000000000000002E-3</v>
      </c>
    </row>
    <row r="68" spans="1:43" ht="16.5" thickBot="1" x14ac:dyDescent="0.3">
      <c r="A68" s="93" t="str">
        <f t="shared" si="65"/>
        <v>Andet</v>
      </c>
      <c r="B68" s="97">
        <f t="shared" si="66"/>
        <v>0</v>
      </c>
      <c r="C68" s="110">
        <f t="shared" si="67"/>
        <v>0.6</v>
      </c>
      <c r="D68" s="37">
        <f t="shared" si="95"/>
        <v>0</v>
      </c>
      <c r="E68" s="99">
        <f t="shared" si="69"/>
        <v>1.2</v>
      </c>
      <c r="F68" s="20">
        <f t="shared" si="96"/>
        <v>0</v>
      </c>
      <c r="H68" s="93" t="str">
        <f t="shared" si="71"/>
        <v>Andet</v>
      </c>
      <c r="I68" s="97">
        <f t="shared" si="72"/>
        <v>0</v>
      </c>
      <c r="J68" s="110">
        <f t="shared" si="73"/>
        <v>0.6</v>
      </c>
      <c r="K68" s="37">
        <f t="shared" si="97"/>
        <v>0</v>
      </c>
      <c r="L68" s="99">
        <f t="shared" si="75"/>
        <v>1.2</v>
      </c>
      <c r="M68" s="20">
        <f t="shared" si="98"/>
        <v>0</v>
      </c>
      <c r="O68" s="93" t="str">
        <f t="shared" si="77"/>
        <v>Andet</v>
      </c>
      <c r="P68" s="97">
        <f t="shared" si="78"/>
        <v>0.04</v>
      </c>
      <c r="Q68" s="110">
        <f t="shared" si="79"/>
        <v>0.6</v>
      </c>
      <c r="R68" s="37">
        <f t="shared" si="99"/>
        <v>2.4E-2</v>
      </c>
      <c r="S68" s="99">
        <f t="shared" si="81"/>
        <v>1.2</v>
      </c>
      <c r="T68" s="20">
        <f t="shared" si="100"/>
        <v>4.8000000000000001E-2</v>
      </c>
      <c r="V68" s="93" t="str">
        <f t="shared" si="83"/>
        <v>Andet</v>
      </c>
      <c r="W68" s="97">
        <f t="shared" si="84"/>
        <v>0.02</v>
      </c>
      <c r="X68" s="110">
        <f t="shared" si="85"/>
        <v>0.6</v>
      </c>
      <c r="Y68" s="37">
        <f t="shared" si="101"/>
        <v>1.2E-2</v>
      </c>
      <c r="Z68" s="99">
        <f t="shared" si="87"/>
        <v>1.2</v>
      </c>
      <c r="AA68" s="20">
        <f t="shared" si="102"/>
        <v>2.4E-2</v>
      </c>
      <c r="AC68" s="93" t="str">
        <f t="shared" si="89"/>
        <v>Andet</v>
      </c>
      <c r="AD68" s="97">
        <f t="shared" si="90"/>
        <v>1.8100000000000002E-2</v>
      </c>
      <c r="AE68" s="110">
        <f t="shared" si="91"/>
        <v>0.6</v>
      </c>
      <c r="AF68" s="37">
        <f t="shared" si="103"/>
        <v>1.086E-2</v>
      </c>
      <c r="AG68" s="99">
        <f t="shared" si="93"/>
        <v>1.2</v>
      </c>
      <c r="AH68" s="20">
        <f t="shared" si="104"/>
        <v>2.172E-2</v>
      </c>
    </row>
    <row r="69" spans="1:43" ht="16.5" thickBot="1" x14ac:dyDescent="0.3">
      <c r="A69" s="39" t="s">
        <v>0</v>
      </c>
      <c r="B69" s="95">
        <f>SUM(B53:B68)</f>
        <v>1.0000000000000002</v>
      </c>
      <c r="C69" s="94"/>
      <c r="D69" s="74">
        <f>SUM(D53:D68)</f>
        <v>0.56406750000000005</v>
      </c>
      <c r="E69" s="2"/>
      <c r="F69" s="20">
        <f>SUM(F53:F68)</f>
        <v>1.05352</v>
      </c>
      <c r="H69" s="39" t="s">
        <v>0</v>
      </c>
      <c r="I69" s="95">
        <f>SUM(I53:I68)</f>
        <v>1</v>
      </c>
      <c r="J69" s="94"/>
      <c r="K69" s="74">
        <f>SUM(K53:K68)</f>
        <v>0.56096170000000001</v>
      </c>
      <c r="L69" s="2"/>
      <c r="M69" s="20">
        <f>SUM(M53:M68)</f>
        <v>1.0858650000000001</v>
      </c>
      <c r="O69" s="39" t="s">
        <v>0</v>
      </c>
      <c r="P69" s="95">
        <f>SUM(P53:P68)</f>
        <v>1.0000000000000002</v>
      </c>
      <c r="Q69" s="94"/>
      <c r="R69" s="74">
        <f>SUM(R53:R68)</f>
        <v>0.54466600000000009</v>
      </c>
      <c r="S69" s="2"/>
      <c r="T69" s="20">
        <f>SUM(T53:T68)</f>
        <v>1.0827850000000001</v>
      </c>
      <c r="V69" s="39" t="s">
        <v>0</v>
      </c>
      <c r="W69" s="95">
        <f>SUM(W53:W68)</f>
        <v>1</v>
      </c>
      <c r="X69" s="94"/>
      <c r="Y69" s="74">
        <f>SUM(Y53:Y68)</f>
        <v>0.50932790000000006</v>
      </c>
      <c r="Z69" s="2"/>
      <c r="AA69" s="20">
        <f>SUM(AA53:AA68)</f>
        <v>1.0920639999999999</v>
      </c>
      <c r="AC69" s="39" t="s">
        <v>0</v>
      </c>
      <c r="AD69" s="95">
        <f>SUM(AD53:AD68)</f>
        <v>1</v>
      </c>
      <c r="AE69" s="94"/>
      <c r="AF69" s="74">
        <f>SUM(AF53:AF68)</f>
        <v>1.0588887000000002</v>
      </c>
      <c r="AG69" s="2"/>
      <c r="AH69" s="20">
        <f>SUM(AH53:AH68)</f>
        <v>1.1353279999999999</v>
      </c>
    </row>
    <row r="70" spans="1:43" ht="16.5" thickBot="1" x14ac:dyDescent="0.3">
      <c r="A70" s="13" t="s">
        <v>87</v>
      </c>
      <c r="B70" s="18"/>
      <c r="C70" s="18"/>
      <c r="D70" s="22">
        <f>+D69/F69</f>
        <v>0.53541223707191132</v>
      </c>
      <c r="E70" s="14"/>
      <c r="F70" s="21"/>
      <c r="H70" s="13" t="str">
        <f>+A70</f>
        <v>Den beregnede blanding GWP værdi per FEsv</v>
      </c>
      <c r="I70" s="18"/>
      <c r="J70" s="18"/>
      <c r="K70" s="22">
        <f>+K69/M69</f>
        <v>0.5166035372721286</v>
      </c>
      <c r="L70" s="14"/>
      <c r="M70" s="21"/>
      <c r="O70" s="13" t="s">
        <v>87</v>
      </c>
      <c r="P70" s="18"/>
      <c r="Q70" s="18"/>
      <c r="R70" s="22">
        <f>+R69/T69</f>
        <v>0.50302322252340037</v>
      </c>
      <c r="S70" s="14"/>
      <c r="T70" s="21"/>
      <c r="V70" s="13" t="s">
        <v>87</v>
      </c>
      <c r="W70" s="18"/>
      <c r="X70" s="18"/>
      <c r="Y70" s="22">
        <f>+Y69/AA69</f>
        <v>0.46639015662085748</v>
      </c>
      <c r="Z70" s="14"/>
      <c r="AA70" s="21"/>
      <c r="AC70" s="13" t="s">
        <v>87</v>
      </c>
      <c r="AD70" s="18"/>
      <c r="AE70" s="18"/>
      <c r="AF70" s="22">
        <f>+AF69/AH69</f>
        <v>0.93267205600496095</v>
      </c>
      <c r="AG70" s="14"/>
      <c r="AH70" s="21"/>
      <c r="AQ70" t="e">
        <f>+AO69+#REF!+AO68+AO67</f>
        <v>#REF!</v>
      </c>
    </row>
    <row r="71" spans="1:43" ht="16.5" thickBot="1" x14ac:dyDescent="0.3"/>
    <row r="72" spans="1:43" ht="16.5" thickBot="1" x14ac:dyDescent="0.3">
      <c r="B72" s="397" t="s">
        <v>99</v>
      </c>
      <c r="C72" s="398"/>
      <c r="D72" s="397" t="s">
        <v>100</v>
      </c>
      <c r="E72" s="398"/>
      <c r="F72" s="105" t="s">
        <v>101</v>
      </c>
      <c r="AK72" s="10"/>
      <c r="AL72" s="10"/>
      <c r="AN72" s="10"/>
      <c r="AO72" s="10"/>
    </row>
    <row r="73" spans="1:43" ht="45" customHeight="1" thickBot="1" x14ac:dyDescent="0.3">
      <c r="A73" s="103" t="s">
        <v>9</v>
      </c>
      <c r="B73" s="104" t="s">
        <v>102</v>
      </c>
      <c r="C73" s="102" t="s">
        <v>103</v>
      </c>
      <c r="D73" s="104" t="s">
        <v>102</v>
      </c>
      <c r="E73" s="102" t="s">
        <v>103</v>
      </c>
      <c r="F73" s="106" t="s">
        <v>104</v>
      </c>
      <c r="AK73" s="11"/>
      <c r="AM73" s="11"/>
      <c r="AN73" s="11"/>
      <c r="AO73" s="11"/>
    </row>
    <row r="74" spans="1:43" x14ac:dyDescent="0.25">
      <c r="A74" s="59" t="str">
        <f t="shared" ref="A74:A89" si="105">A6</f>
        <v>HVEDE</v>
      </c>
      <c r="B74" s="53">
        <v>40.72</v>
      </c>
      <c r="C74" s="257">
        <v>34</v>
      </c>
      <c r="D74" s="53">
        <v>41.58</v>
      </c>
      <c r="E74" s="257">
        <v>37.049999999999997</v>
      </c>
      <c r="F74" s="44">
        <v>45.67</v>
      </c>
    </row>
    <row r="75" spans="1:43" x14ac:dyDescent="0.25">
      <c r="A75" s="60" t="str">
        <f t="shared" si="105"/>
        <v>BYG,  vår/vinter</v>
      </c>
      <c r="B75" s="55">
        <v>34.03</v>
      </c>
      <c r="C75" s="122">
        <v>35.85</v>
      </c>
      <c r="D75" s="55">
        <v>27</v>
      </c>
      <c r="E75" s="122">
        <v>27</v>
      </c>
      <c r="F75" s="27">
        <v>21.57</v>
      </c>
    </row>
    <row r="76" spans="1:43" x14ac:dyDescent="0.25">
      <c r="A76" s="60" t="str">
        <f t="shared" si="105"/>
        <v>Rug/tritikale</v>
      </c>
      <c r="B76" s="55">
        <v>8.5</v>
      </c>
      <c r="C76" s="122">
        <v>5</v>
      </c>
      <c r="D76" s="55">
        <v>10</v>
      </c>
      <c r="E76" s="122">
        <v>10</v>
      </c>
      <c r="F76" s="27">
        <v>0</v>
      </c>
    </row>
    <row r="77" spans="1:43" x14ac:dyDescent="0.25">
      <c r="A77" s="60" t="str">
        <f t="shared" si="105"/>
        <v>Valle, gns af alle valletyper</v>
      </c>
      <c r="B77" s="55"/>
      <c r="C77" s="122"/>
      <c r="D77" s="55"/>
      <c r="E77" s="122"/>
      <c r="F77" s="27">
        <v>0</v>
      </c>
    </row>
    <row r="78" spans="1:43" x14ac:dyDescent="0.25">
      <c r="A78" s="60" t="str">
        <f t="shared" si="105"/>
        <v>SOJASKRÅFODER,  afskallet toastet</v>
      </c>
      <c r="B78" s="55">
        <v>11.25</v>
      </c>
      <c r="C78" s="122">
        <v>6.95</v>
      </c>
      <c r="D78" s="55">
        <v>15.63</v>
      </c>
      <c r="E78" s="122">
        <v>9.9499999999999993</v>
      </c>
      <c r="F78" s="27">
        <v>13</v>
      </c>
    </row>
    <row r="79" spans="1:43" x14ac:dyDescent="0.25">
      <c r="A79" s="60" t="str">
        <f t="shared" si="105"/>
        <v>RAPSSKRÅFODER,  lavt glukosinolatindhold</v>
      </c>
      <c r="B79" s="55">
        <v>0</v>
      </c>
      <c r="C79" s="122">
        <v>2</v>
      </c>
      <c r="D79" s="55">
        <v>0</v>
      </c>
      <c r="E79" s="122">
        <v>2</v>
      </c>
      <c r="F79" s="27">
        <v>1.3</v>
      </c>
    </row>
    <row r="80" spans="1:43" x14ac:dyDescent="0.25">
      <c r="A80" s="60" t="str">
        <f t="shared" si="105"/>
        <v>SOLSIKKESKRÅFODER,  afskallet</v>
      </c>
      <c r="B80" s="55">
        <v>0</v>
      </c>
      <c r="C80" s="122">
        <v>3.75</v>
      </c>
      <c r="D80" s="55">
        <v>2</v>
      </c>
      <c r="E80" s="122">
        <v>7</v>
      </c>
      <c r="F80" s="27"/>
    </row>
    <row r="81" spans="1:24" x14ac:dyDescent="0.25">
      <c r="A81" s="60" t="str">
        <f t="shared" si="105"/>
        <v>Hestebønner</v>
      </c>
      <c r="B81" s="55"/>
      <c r="C81" s="122"/>
      <c r="D81" s="55"/>
      <c r="E81" s="122"/>
      <c r="F81" s="27"/>
    </row>
    <row r="82" spans="1:24" x14ac:dyDescent="0.25">
      <c r="A82" s="60" t="str">
        <f t="shared" si="105"/>
        <v>HVEDEKLID</v>
      </c>
      <c r="B82" s="55">
        <v>0</v>
      </c>
      <c r="C82" s="122">
        <v>2.85</v>
      </c>
      <c r="D82" s="55">
        <v>0</v>
      </c>
      <c r="E82" s="122">
        <v>2</v>
      </c>
      <c r="F82" s="27">
        <v>0</v>
      </c>
    </row>
    <row r="83" spans="1:24" x14ac:dyDescent="0.25">
      <c r="A83" s="60" t="str">
        <f t="shared" si="105"/>
        <v>VEGETABILSK OLIE OG FEDTSTOF, Palme</v>
      </c>
      <c r="B83" s="55">
        <v>0.5</v>
      </c>
      <c r="C83" s="122">
        <v>1</v>
      </c>
      <c r="D83" s="55">
        <v>0.79</v>
      </c>
      <c r="E83" s="122">
        <v>1</v>
      </c>
      <c r="F83" s="27">
        <v>2</v>
      </c>
    </row>
    <row r="84" spans="1:24" x14ac:dyDescent="0.25">
      <c r="A84" s="60" t="str">
        <f t="shared" si="105"/>
        <v>SOJA/Raps olie</v>
      </c>
      <c r="B84" s="55"/>
      <c r="C84" s="122">
        <v>0.6</v>
      </c>
      <c r="D84" s="55"/>
      <c r="E84" s="122"/>
      <c r="F84" s="27"/>
    </row>
    <row r="85" spans="1:24" x14ac:dyDescent="0.25">
      <c r="A85" s="60" t="str">
        <f t="shared" si="105"/>
        <v>SUKKERROEMELASSE</v>
      </c>
      <c r="B85" s="55">
        <v>0</v>
      </c>
      <c r="C85" s="122">
        <v>1</v>
      </c>
      <c r="D85" s="55">
        <v>0</v>
      </c>
      <c r="E85" s="122">
        <v>1</v>
      </c>
      <c r="F85" s="27">
        <v>0</v>
      </c>
    </row>
    <row r="86" spans="1:24" x14ac:dyDescent="0.25">
      <c r="A86" s="60" t="str">
        <f t="shared" si="105"/>
        <v>Fiskemel</v>
      </c>
      <c r="B86" s="55"/>
      <c r="C86" s="122"/>
      <c r="D86" s="55"/>
      <c r="E86" s="122"/>
      <c r="F86" s="27">
        <v>5.65</v>
      </c>
    </row>
    <row r="87" spans="1:24" x14ac:dyDescent="0.25">
      <c r="A87" s="60" t="str">
        <f t="shared" si="105"/>
        <v>Skummetmælkspulver</v>
      </c>
      <c r="B87" s="55"/>
      <c r="C87" s="122"/>
      <c r="D87" s="55"/>
      <c r="E87" s="122"/>
      <c r="F87" s="27">
        <v>5</v>
      </c>
    </row>
    <row r="88" spans="1:24" x14ac:dyDescent="0.25">
      <c r="A88" s="60" t="str">
        <f t="shared" si="105"/>
        <v>Mineralsk foderblanding</v>
      </c>
      <c r="B88" s="55">
        <v>3</v>
      </c>
      <c r="C88" s="122">
        <v>3</v>
      </c>
      <c r="D88" s="55">
        <v>3</v>
      </c>
      <c r="E88" s="122">
        <v>3</v>
      </c>
      <c r="F88" s="27">
        <v>4</v>
      </c>
    </row>
    <row r="89" spans="1:24" ht="16.5" thickBot="1" x14ac:dyDescent="0.3">
      <c r="A89" s="61" t="str">
        <f t="shared" si="105"/>
        <v>Andet</v>
      </c>
      <c r="B89" s="342">
        <v>2</v>
      </c>
      <c r="C89" s="343">
        <v>4</v>
      </c>
      <c r="D89" s="342">
        <v>0</v>
      </c>
      <c r="E89" s="343">
        <v>0</v>
      </c>
      <c r="F89" s="344">
        <v>1.81</v>
      </c>
    </row>
    <row r="90" spans="1:24" x14ac:dyDescent="0.25">
      <c r="A90" s="39" t="s">
        <v>0</v>
      </c>
      <c r="B90" s="44">
        <f>SUM(B74:B89)</f>
        <v>100</v>
      </c>
      <c r="C90" s="180">
        <f>SUM(C74:C89)</f>
        <v>99.999999999999986</v>
      </c>
      <c r="D90" s="44">
        <f>SUM(D74:D89)</f>
        <v>100</v>
      </c>
      <c r="E90" s="180">
        <f>SUM(E74:E89)</f>
        <v>100</v>
      </c>
      <c r="F90" s="44">
        <f>SUM(F74:F89)</f>
        <v>100.00000000000001</v>
      </c>
      <c r="W90" s="11"/>
    </row>
    <row r="91" spans="1:24" x14ac:dyDescent="0.25">
      <c r="A91" s="8" t="s">
        <v>105</v>
      </c>
      <c r="B91" s="27">
        <v>1.05</v>
      </c>
      <c r="C91" s="37">
        <v>1.0425</v>
      </c>
      <c r="D91" s="27">
        <v>1.08</v>
      </c>
      <c r="E91" s="37">
        <v>1.042</v>
      </c>
      <c r="F91" s="265">
        <v>1.1073</v>
      </c>
      <c r="W91" s="10"/>
      <c r="X91" s="10"/>
    </row>
    <row r="92" spans="1:24" x14ac:dyDescent="0.25">
      <c r="A92" s="8" t="s">
        <v>106</v>
      </c>
      <c r="B92" s="346">
        <v>107.15</v>
      </c>
      <c r="C92" s="131">
        <v>106.25</v>
      </c>
      <c r="D92" s="27">
        <v>124</v>
      </c>
      <c r="E92" s="131">
        <v>123.7</v>
      </c>
      <c r="F92" s="346">
        <v>141.43</v>
      </c>
      <c r="W92" s="11"/>
    </row>
    <row r="93" spans="1:24" ht="16.5" thickBot="1" x14ac:dyDescent="0.3">
      <c r="A93" s="345" t="s">
        <v>107</v>
      </c>
      <c r="B93" s="31">
        <v>6.35</v>
      </c>
      <c r="C93" s="98">
        <v>6.1</v>
      </c>
      <c r="D93" s="266">
        <v>8</v>
      </c>
      <c r="E93" s="98">
        <v>8</v>
      </c>
      <c r="F93" s="266">
        <v>10.715</v>
      </c>
    </row>
  </sheetData>
  <mergeCells count="2">
    <mergeCell ref="B72:C72"/>
    <mergeCell ref="D72:E7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363F9-EFC3-924B-9E4D-768A15390A80}">
  <sheetPr>
    <tabColor theme="4"/>
  </sheetPr>
  <dimension ref="B3:L75"/>
  <sheetViews>
    <sheetView topLeftCell="A13" zoomScale="115" zoomScaleNormal="115" workbookViewId="0">
      <selection activeCell="F8" sqref="F8"/>
    </sheetView>
  </sheetViews>
  <sheetFormatPr defaultColWidth="11" defaultRowHeight="15.75" x14ac:dyDescent="0.25"/>
  <cols>
    <col min="2" max="2" width="50.5" customWidth="1"/>
    <col min="3" max="4" width="12.375" customWidth="1"/>
    <col min="9" max="9" width="10.75" customWidth="1"/>
  </cols>
  <sheetData>
    <row r="3" spans="2:5" ht="21.75" thickBot="1" x14ac:dyDescent="0.4">
      <c r="B3" s="66" t="s">
        <v>91</v>
      </c>
    </row>
    <row r="4" spans="2:5" ht="55.5" customHeight="1" thickBot="1" x14ac:dyDescent="0.3">
      <c r="C4" s="79" t="s">
        <v>92</v>
      </c>
      <c r="D4" s="65" t="s">
        <v>110</v>
      </c>
      <c r="E4" s="17" t="s">
        <v>109</v>
      </c>
    </row>
    <row r="5" spans="2:5" x14ac:dyDescent="0.25">
      <c r="B5" t="s">
        <v>134</v>
      </c>
      <c r="C5" s="23">
        <v>88</v>
      </c>
      <c r="D5" s="16">
        <v>33.9</v>
      </c>
      <c r="E5" s="75">
        <v>30</v>
      </c>
    </row>
    <row r="6" spans="2:5" x14ac:dyDescent="0.25">
      <c r="B6" t="s">
        <v>119</v>
      </c>
      <c r="C6" s="23">
        <v>2.65</v>
      </c>
      <c r="D6" s="16">
        <v>44.7</v>
      </c>
      <c r="E6" s="75">
        <v>1.82</v>
      </c>
    </row>
    <row r="7" spans="2:5" x14ac:dyDescent="0.25">
      <c r="B7" t="s">
        <v>261</v>
      </c>
      <c r="C7" s="23">
        <v>2</v>
      </c>
      <c r="D7" s="77">
        <v>0.4</v>
      </c>
      <c r="E7" s="301">
        <v>0.4</v>
      </c>
    </row>
    <row r="8" spans="2:5" x14ac:dyDescent="0.25">
      <c r="B8" t="s">
        <v>264</v>
      </c>
      <c r="C8" s="23">
        <v>52</v>
      </c>
      <c r="D8" s="77">
        <v>20</v>
      </c>
      <c r="E8" s="301">
        <v>20</v>
      </c>
    </row>
    <row r="9" spans="2:5" x14ac:dyDescent="0.25">
      <c r="B9" t="s">
        <v>136</v>
      </c>
      <c r="C9" s="116">
        <v>3.4000000000000002E-2</v>
      </c>
      <c r="D9" s="118">
        <v>0.23599999999999999</v>
      </c>
      <c r="E9" s="117">
        <v>3.5999999999999997E-2</v>
      </c>
    </row>
    <row r="10" spans="2:5" x14ac:dyDescent="0.25">
      <c r="B10" t="s">
        <v>137</v>
      </c>
      <c r="C10" s="23">
        <v>0</v>
      </c>
      <c r="D10" s="77">
        <v>0.4</v>
      </c>
      <c r="E10" s="75">
        <v>0</v>
      </c>
    </row>
    <row r="11" spans="2:5" x14ac:dyDescent="0.25">
      <c r="B11" t="s">
        <v>145</v>
      </c>
      <c r="C11">
        <v>14</v>
      </c>
      <c r="D11" s="16">
        <v>10</v>
      </c>
      <c r="E11" s="75">
        <v>12</v>
      </c>
    </row>
    <row r="12" spans="2:5" x14ac:dyDescent="0.25">
      <c r="B12" t="s">
        <v>138</v>
      </c>
      <c r="D12" s="77">
        <v>2.5</v>
      </c>
      <c r="E12" s="75"/>
    </row>
    <row r="13" spans="2:5" x14ac:dyDescent="0.25">
      <c r="B13" t="s">
        <v>111</v>
      </c>
      <c r="C13" s="70">
        <v>4.8</v>
      </c>
      <c r="D13" s="78">
        <v>3.4</v>
      </c>
      <c r="E13">
        <v>4.0999999999999996</v>
      </c>
    </row>
    <row r="14" spans="2:5" x14ac:dyDescent="0.25">
      <c r="B14" t="s">
        <v>112</v>
      </c>
      <c r="C14">
        <v>0.34</v>
      </c>
      <c r="D14" s="78">
        <v>0.34</v>
      </c>
      <c r="E14">
        <v>0.34</v>
      </c>
    </row>
    <row r="15" spans="2:5" ht="31.5" x14ac:dyDescent="0.25">
      <c r="B15" s="23" t="s">
        <v>144</v>
      </c>
      <c r="D15" s="80">
        <v>6.4</v>
      </c>
    </row>
    <row r="16" spans="2:5" x14ac:dyDescent="0.25">
      <c r="B16" t="s">
        <v>230</v>
      </c>
      <c r="D16" s="80">
        <v>2</v>
      </c>
    </row>
    <row r="17" spans="2:9" x14ac:dyDescent="0.25">
      <c r="B17" t="s">
        <v>218</v>
      </c>
      <c r="D17" s="78">
        <v>140</v>
      </c>
    </row>
    <row r="18" spans="2:9" x14ac:dyDescent="0.25">
      <c r="B18" s="1" t="s">
        <v>47</v>
      </c>
    </row>
    <row r="19" spans="2:9" x14ac:dyDescent="0.25">
      <c r="B19" t="s">
        <v>86</v>
      </c>
      <c r="C19">
        <v>10.6</v>
      </c>
      <c r="D19" s="78">
        <v>2.1</v>
      </c>
      <c r="E19">
        <v>1.9</v>
      </c>
    </row>
    <row r="20" spans="2:9" x14ac:dyDescent="0.25">
      <c r="B20" t="s">
        <v>135</v>
      </c>
      <c r="C20">
        <v>47.4</v>
      </c>
      <c r="D20" s="78">
        <v>10.8</v>
      </c>
      <c r="E20">
        <v>8.1</v>
      </c>
    </row>
    <row r="21" spans="2:9" x14ac:dyDescent="0.25">
      <c r="B21" t="s">
        <v>85</v>
      </c>
      <c r="C21" s="46">
        <v>1</v>
      </c>
      <c r="D21" s="80">
        <v>1</v>
      </c>
      <c r="E21" s="46">
        <v>0</v>
      </c>
    </row>
    <row r="22" spans="2:9" x14ac:dyDescent="0.25">
      <c r="B22" t="s">
        <v>49</v>
      </c>
      <c r="C22">
        <v>5.6000000000000001E-2</v>
      </c>
      <c r="D22">
        <v>5.6000000000000001E-2</v>
      </c>
      <c r="E22">
        <v>5.6000000000000001E-2</v>
      </c>
    </row>
    <row r="23" spans="2:9" x14ac:dyDescent="0.25">
      <c r="B23" s="6" t="s">
        <v>1</v>
      </c>
      <c r="C23" s="5"/>
    </row>
    <row r="24" spans="2:9" x14ac:dyDescent="0.25">
      <c r="B24" s="32" t="s">
        <v>52</v>
      </c>
      <c r="C24" s="47">
        <v>0</v>
      </c>
      <c r="D24" s="76">
        <v>0</v>
      </c>
      <c r="E24">
        <v>0</v>
      </c>
    </row>
    <row r="25" spans="2:9" x14ac:dyDescent="0.25">
      <c r="B25" t="s">
        <v>41</v>
      </c>
      <c r="C25" s="47">
        <v>-21.8</v>
      </c>
      <c r="D25">
        <v>-6.7</v>
      </c>
      <c r="E25">
        <v>-5.0999999999999996</v>
      </c>
    </row>
    <row r="26" spans="2:9" ht="21.75" customHeight="1" x14ac:dyDescent="0.25">
      <c r="B26" t="str">
        <f>+'Rulle lister'!A4</f>
        <v>100% Kemisk /biologisk</v>
      </c>
      <c r="C26" s="47">
        <v>-2.5</v>
      </c>
      <c r="D26">
        <v>-0.5</v>
      </c>
      <c r="E26">
        <v>-0.5</v>
      </c>
      <c r="I26" s="23"/>
    </row>
    <row r="27" spans="2:9" x14ac:dyDescent="0.25">
      <c r="B27" t="str">
        <f>+'Rulle lister'!A5</f>
        <v>20% kemisk/biologisk</v>
      </c>
      <c r="C27" s="47">
        <v>-1.3</v>
      </c>
      <c r="D27">
        <v>-0.3</v>
      </c>
      <c r="E27">
        <v>-0.3</v>
      </c>
    </row>
    <row r="28" spans="2:9" x14ac:dyDescent="0.25">
      <c r="B28" t="str">
        <f>+'Rulle lister'!A6</f>
        <v>20% luftrens+Gyllekøling</v>
      </c>
      <c r="C28" s="47">
        <v>-4.4000000000000004</v>
      </c>
      <c r="D28">
        <v>-1</v>
      </c>
      <c r="E28">
        <v>-1</v>
      </c>
    </row>
    <row r="29" spans="2:9" x14ac:dyDescent="0.25">
      <c r="B29" t="s">
        <v>51</v>
      </c>
      <c r="C29" s="47">
        <v>-3.4</v>
      </c>
      <c r="D29">
        <v>-1</v>
      </c>
      <c r="E29">
        <v>-1</v>
      </c>
    </row>
    <row r="30" spans="2:9" x14ac:dyDescent="0.25">
      <c r="B30" s="1" t="s">
        <v>251</v>
      </c>
      <c r="C30" s="47"/>
    </row>
    <row r="31" spans="2:9" x14ac:dyDescent="0.25">
      <c r="B31" t="s">
        <v>64</v>
      </c>
      <c r="C31" s="120">
        <v>0</v>
      </c>
      <c r="D31">
        <v>0</v>
      </c>
      <c r="E31">
        <v>0</v>
      </c>
    </row>
    <row r="32" spans="2:9" x14ac:dyDescent="0.25">
      <c r="B32" t="s">
        <v>50</v>
      </c>
      <c r="C32" s="47">
        <v>-5</v>
      </c>
      <c r="D32">
        <v>-1.5</v>
      </c>
      <c r="E32">
        <v>-1.2</v>
      </c>
    </row>
    <row r="33" spans="2:12" x14ac:dyDescent="0.25">
      <c r="B33" t="s">
        <v>253</v>
      </c>
      <c r="C33" s="47">
        <v>-5.6</v>
      </c>
      <c r="D33">
        <v>-1.7</v>
      </c>
      <c r="E33">
        <v>-1.3</v>
      </c>
    </row>
    <row r="34" spans="2:12" x14ac:dyDescent="0.25">
      <c r="B34" t="s">
        <v>255</v>
      </c>
      <c r="C34" s="47">
        <v>-17.399999999999999</v>
      </c>
      <c r="D34">
        <v>-5.3</v>
      </c>
      <c r="E34">
        <v>-4.0999999999999996</v>
      </c>
    </row>
    <row r="35" spans="2:12" x14ac:dyDescent="0.25">
      <c r="B35" s="1" t="s">
        <v>204</v>
      </c>
      <c r="C35" s="47"/>
    </row>
    <row r="36" spans="2:12" x14ac:dyDescent="0.25">
      <c r="B36" s="16" t="s">
        <v>258</v>
      </c>
      <c r="C36" s="47"/>
    </row>
    <row r="37" spans="2:12" x14ac:dyDescent="0.25">
      <c r="B37" t="s">
        <v>253</v>
      </c>
      <c r="C37" s="47">
        <v>-12.3</v>
      </c>
      <c r="D37">
        <v>-3.8</v>
      </c>
      <c r="E37">
        <v>-2.9</v>
      </c>
    </row>
    <row r="38" spans="2:12" x14ac:dyDescent="0.25">
      <c r="B38" t="s">
        <v>256</v>
      </c>
      <c r="C38" s="47">
        <v>-13.4</v>
      </c>
      <c r="D38">
        <v>-4.0999999999999996</v>
      </c>
      <c r="E38">
        <v>-3.2</v>
      </c>
    </row>
    <row r="39" spans="2:12" x14ac:dyDescent="0.25">
      <c r="C39" s="5"/>
    </row>
    <row r="40" spans="2:12" x14ac:dyDescent="0.25">
      <c r="C40" s="11"/>
      <c r="E40" s="3"/>
    </row>
    <row r="41" spans="2:12" x14ac:dyDescent="0.25">
      <c r="C41" s="29"/>
      <c r="E41" s="3"/>
    </row>
    <row r="42" spans="2:12" x14ac:dyDescent="0.25">
      <c r="C42" s="29"/>
      <c r="E42" s="3"/>
    </row>
    <row r="43" spans="2:12" x14ac:dyDescent="0.25">
      <c r="B43" t="s">
        <v>88</v>
      </c>
      <c r="C43" s="29">
        <f>+'Foder-database'!D70</f>
        <v>0.53541223707191132</v>
      </c>
      <c r="D43" s="11">
        <f>+'Foder-database'!R70</f>
        <v>0.50302322252340037</v>
      </c>
      <c r="E43" s="115">
        <f>+'Foder-database'!AF70</f>
        <v>0.93267205600496095</v>
      </c>
      <c r="I43" s="46"/>
      <c r="L43" s="46"/>
    </row>
    <row r="44" spans="2:12" x14ac:dyDescent="0.25">
      <c r="B44" t="s">
        <v>89</v>
      </c>
      <c r="C44" s="10"/>
      <c r="J44" s="46"/>
      <c r="L44" s="46"/>
    </row>
    <row r="45" spans="2:12" ht="30" customHeight="1" x14ac:dyDescent="0.25">
      <c r="B45" s="23" t="s">
        <v>90</v>
      </c>
      <c r="K45" s="46"/>
    </row>
    <row r="48" spans="2:12" ht="21" x14ac:dyDescent="0.35">
      <c r="B48" s="66" t="s">
        <v>22</v>
      </c>
      <c r="G48" s="33"/>
    </row>
    <row r="49" spans="2:7" x14ac:dyDescent="0.25">
      <c r="B49" t="s">
        <v>45</v>
      </c>
    </row>
    <row r="50" spans="2:7" x14ac:dyDescent="0.25">
      <c r="B50" t="s">
        <v>23</v>
      </c>
    </row>
    <row r="51" spans="2:7" x14ac:dyDescent="0.25">
      <c r="B51" t="s">
        <v>24</v>
      </c>
      <c r="C51">
        <v>40</v>
      </c>
      <c r="G51" s="33"/>
    </row>
    <row r="52" spans="2:7" x14ac:dyDescent="0.25">
      <c r="B52" t="s">
        <v>141</v>
      </c>
      <c r="C52">
        <v>54</v>
      </c>
      <c r="G52" s="33"/>
    </row>
    <row r="53" spans="2:7" x14ac:dyDescent="0.25">
      <c r="B53" t="s">
        <v>25</v>
      </c>
      <c r="C53">
        <v>96.7</v>
      </c>
      <c r="G53" s="33"/>
    </row>
    <row r="54" spans="2:7" x14ac:dyDescent="0.25">
      <c r="B54" t="s">
        <v>42</v>
      </c>
      <c r="C54">
        <v>182</v>
      </c>
      <c r="G54" s="33"/>
    </row>
    <row r="55" spans="2:7" x14ac:dyDescent="0.25">
      <c r="B55" t="s">
        <v>26</v>
      </c>
      <c r="C55">
        <f>+C53+C54</f>
        <v>278.7</v>
      </c>
      <c r="G55" s="33"/>
    </row>
    <row r="56" spans="2:7" x14ac:dyDescent="0.25">
      <c r="B56" t="s">
        <v>43</v>
      </c>
    </row>
    <row r="57" spans="2:7" x14ac:dyDescent="0.25">
      <c r="B57" t="s">
        <v>44</v>
      </c>
    </row>
    <row r="58" spans="2:7" x14ac:dyDescent="0.25">
      <c r="B58" t="s">
        <v>27</v>
      </c>
    </row>
    <row r="59" spans="2:7" x14ac:dyDescent="0.25">
      <c r="B59" t="s">
        <v>28</v>
      </c>
    </row>
    <row r="61" spans="2:7" x14ac:dyDescent="0.25">
      <c r="B61" t="s">
        <v>29</v>
      </c>
    </row>
    <row r="62" spans="2:7" x14ac:dyDescent="0.25">
      <c r="B62" t="s">
        <v>30</v>
      </c>
      <c r="C62" t="s">
        <v>31</v>
      </c>
    </row>
    <row r="63" spans="2:7" x14ac:dyDescent="0.25">
      <c r="B63" t="s">
        <v>32</v>
      </c>
      <c r="C63">
        <f>+C52/23.4</f>
        <v>2.3076923076923079</v>
      </c>
      <c r="G63" s="33"/>
    </row>
    <row r="64" spans="2:7" x14ac:dyDescent="0.25">
      <c r="B64" t="s">
        <v>33</v>
      </c>
      <c r="C64">
        <f>+C54/85.3</f>
        <v>2.1336459554513483</v>
      </c>
      <c r="G64" s="33"/>
    </row>
    <row r="65" spans="2:7" x14ac:dyDescent="0.25">
      <c r="E65" t="s">
        <v>143</v>
      </c>
      <c r="F65" t="s">
        <v>147</v>
      </c>
    </row>
    <row r="66" spans="2:7" x14ac:dyDescent="0.25">
      <c r="B66" s="25" t="s">
        <v>34</v>
      </c>
      <c r="C66" t="s">
        <v>139</v>
      </c>
      <c r="E66" s="25" t="s">
        <v>10</v>
      </c>
      <c r="F66" s="25" t="s">
        <v>35</v>
      </c>
      <c r="G66" s="83"/>
    </row>
    <row r="67" spans="2:7" x14ac:dyDescent="0.25">
      <c r="B67" s="25" t="s">
        <v>162</v>
      </c>
      <c r="E67" s="26">
        <f>+Beregningmotor!C16</f>
        <v>30</v>
      </c>
      <c r="F67" s="26">
        <f>IF(E67&gt;=30,$C$53+(E67-30)*$C$64,IF(E67&gt;0,$C$53-(30-E67)*$C$63,0))</f>
        <v>96.7</v>
      </c>
      <c r="G67" s="10"/>
    </row>
    <row r="68" spans="2:7" x14ac:dyDescent="0.25">
      <c r="B68" s="25" t="s">
        <v>162</v>
      </c>
      <c r="E68" s="26">
        <f>+'Produktionsdata input'!D16</f>
        <v>30</v>
      </c>
      <c r="F68" s="26">
        <f t="shared" ref="F68:F70" si="0">IF(E68&gt;=30,$C$53+(E68-30)*$C$64,IF(E68&gt;0,$C$53-(30-E68)*$C$63,0))</f>
        <v>96.7</v>
      </c>
      <c r="G68" s="10"/>
    </row>
    <row r="69" spans="2:7" x14ac:dyDescent="0.25">
      <c r="B69" s="25" t="s">
        <v>162</v>
      </c>
      <c r="E69" s="26">
        <f>+'Produktionsdata input'!E16</f>
        <v>30</v>
      </c>
      <c r="F69" s="26">
        <f t="shared" si="0"/>
        <v>96.7</v>
      </c>
      <c r="G69" s="10"/>
    </row>
    <row r="70" spans="2:7" x14ac:dyDescent="0.25">
      <c r="B70" s="25" t="s">
        <v>162</v>
      </c>
      <c r="E70" s="26">
        <f>+'Produktionsdata input'!F16</f>
        <v>30</v>
      </c>
      <c r="F70" s="26">
        <f t="shared" si="0"/>
        <v>96.7</v>
      </c>
      <c r="G70" s="10"/>
    </row>
    <row r="73" spans="2:7" x14ac:dyDescent="0.25">
      <c r="C73" t="s">
        <v>122</v>
      </c>
      <c r="E73" t="s">
        <v>123</v>
      </c>
      <c r="F73" t="s">
        <v>124</v>
      </c>
    </row>
    <row r="74" spans="2:7" x14ac:dyDescent="0.25">
      <c r="B74" s="25" t="s">
        <v>120</v>
      </c>
      <c r="C74">
        <v>3910</v>
      </c>
      <c r="E74">
        <v>0.09</v>
      </c>
      <c r="F74">
        <v>0.51</v>
      </c>
    </row>
    <row r="75" spans="2:7" x14ac:dyDescent="0.25">
      <c r="B75" s="25" t="s">
        <v>121</v>
      </c>
      <c r="C75">
        <v>6.5</v>
      </c>
      <c r="E75">
        <v>6.3</v>
      </c>
      <c r="F75">
        <v>7.1</v>
      </c>
    </row>
  </sheetData>
  <dataValidations count="2">
    <dataValidation type="list" allowBlank="1" showInputMessage="1" showErrorMessage="1" sqref="B31:B32" xr:uid="{DA76ECB0-5DEC-4A3C-839E-02C0D7C7C7E8}">
      <formula1>$A$10:$A$12</formula1>
    </dataValidation>
    <dataValidation type="list" allowBlank="1" showInputMessage="1" showErrorMessage="1" sqref="I31:I36 B33:B34" xr:uid="{402AADEE-EFCD-43C0-BEE3-80705A137C92}">
      <formula1>$A$10:$A$14</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86409-C2F9-42C6-8B6D-25D4CEF14DF0}">
  <dimension ref="A2:G35"/>
  <sheetViews>
    <sheetView workbookViewId="0">
      <selection activeCell="A15" sqref="A15"/>
    </sheetView>
  </sheetViews>
  <sheetFormatPr defaultRowHeight="15.75" x14ac:dyDescent="0.25"/>
  <cols>
    <col min="1" max="1" width="41.75" customWidth="1"/>
    <col min="2" max="2" width="16" customWidth="1"/>
    <col min="3" max="3" width="11.25" customWidth="1"/>
    <col min="4" max="4" width="11.875" customWidth="1"/>
    <col min="7" max="7" width="75.125" customWidth="1"/>
  </cols>
  <sheetData>
    <row r="2" spans="1:7" x14ac:dyDescent="0.25">
      <c r="A2" t="str">
        <f>+Værktøjskassen!B24</f>
        <v>Ingen miljøteknologi</v>
      </c>
    </row>
    <row r="3" spans="1:7" x14ac:dyDescent="0.25">
      <c r="A3" t="s">
        <v>41</v>
      </c>
      <c r="G3" t="s">
        <v>1</v>
      </c>
    </row>
    <row r="4" spans="1:7" ht="18" customHeight="1" x14ac:dyDescent="0.25">
      <c r="A4" s="23" t="s">
        <v>60</v>
      </c>
      <c r="G4" t="s">
        <v>52</v>
      </c>
    </row>
    <row r="5" spans="1:7" x14ac:dyDescent="0.25">
      <c r="A5" t="s">
        <v>61</v>
      </c>
      <c r="G5" t="s">
        <v>41</v>
      </c>
    </row>
    <row r="6" spans="1:7" x14ac:dyDescent="0.25">
      <c r="A6" t="s">
        <v>62</v>
      </c>
      <c r="G6" t="s">
        <v>60</v>
      </c>
    </row>
    <row r="7" spans="1:7" x14ac:dyDescent="0.25">
      <c r="A7" t="s">
        <v>51</v>
      </c>
      <c r="G7" t="s">
        <v>61</v>
      </c>
    </row>
    <row r="8" spans="1:7" x14ac:dyDescent="0.25">
      <c r="G8" t="s">
        <v>62</v>
      </c>
    </row>
    <row r="9" spans="1:7" x14ac:dyDescent="0.25">
      <c r="A9" t="s">
        <v>64</v>
      </c>
      <c r="G9" t="s">
        <v>51</v>
      </c>
    </row>
    <row r="10" spans="1:7" x14ac:dyDescent="0.25">
      <c r="A10" t="s">
        <v>50</v>
      </c>
      <c r="G10" t="s">
        <v>251</v>
      </c>
    </row>
    <row r="11" spans="1:7" x14ac:dyDescent="0.25">
      <c r="A11" t="s">
        <v>253</v>
      </c>
    </row>
    <row r="12" spans="1:7" x14ac:dyDescent="0.25">
      <c r="A12" t="s">
        <v>255</v>
      </c>
    </row>
    <row r="14" spans="1:7" x14ac:dyDescent="0.25">
      <c r="A14" t="s">
        <v>258</v>
      </c>
      <c r="G14" t="s">
        <v>64</v>
      </c>
    </row>
    <row r="15" spans="1:7" x14ac:dyDescent="0.25">
      <c r="A15" t="s">
        <v>253</v>
      </c>
      <c r="G15" t="s">
        <v>50</v>
      </c>
    </row>
    <row r="16" spans="1:7" x14ac:dyDescent="0.25">
      <c r="A16" t="s">
        <v>256</v>
      </c>
      <c r="G16" t="s">
        <v>252</v>
      </c>
    </row>
    <row r="17" spans="1:7" x14ac:dyDescent="0.25">
      <c r="G17" t="s">
        <v>248</v>
      </c>
    </row>
    <row r="18" spans="1:7" x14ac:dyDescent="0.25">
      <c r="G18" t="s">
        <v>204</v>
      </c>
    </row>
    <row r="19" spans="1:7" x14ac:dyDescent="0.25">
      <c r="A19" s="119" t="s">
        <v>140</v>
      </c>
      <c r="G19" t="s">
        <v>253</v>
      </c>
    </row>
    <row r="20" spans="1:7" x14ac:dyDescent="0.25">
      <c r="A20" s="85" t="s">
        <v>140</v>
      </c>
      <c r="G20" t="s">
        <v>254</v>
      </c>
    </row>
    <row r="21" spans="1:7" x14ac:dyDescent="0.25">
      <c r="A21" s="85"/>
    </row>
    <row r="22" spans="1:7" x14ac:dyDescent="0.25">
      <c r="A22" s="85" t="s">
        <v>140</v>
      </c>
    </row>
    <row r="23" spans="1:7" x14ac:dyDescent="0.25">
      <c r="A23" s="85"/>
    </row>
    <row r="24" spans="1:7" x14ac:dyDescent="0.25">
      <c r="A24" s="85" t="s">
        <v>140</v>
      </c>
    </row>
    <row r="25" spans="1:7" x14ac:dyDescent="0.25">
      <c r="A25" s="85" t="s">
        <v>140</v>
      </c>
    </row>
    <row r="26" spans="1:7" x14ac:dyDescent="0.25">
      <c r="A26" s="85"/>
    </row>
    <row r="27" spans="1:7" x14ac:dyDescent="0.25">
      <c r="A27" s="85" t="s">
        <v>250</v>
      </c>
    </row>
    <row r="28" spans="1:7" x14ac:dyDescent="0.25">
      <c r="A28" s="85"/>
    </row>
    <row r="29" spans="1:7" x14ac:dyDescent="0.25">
      <c r="A29" s="85"/>
    </row>
    <row r="30" spans="1:7" x14ac:dyDescent="0.25">
      <c r="A30" s="85" t="s">
        <v>247</v>
      </c>
    </row>
    <row r="34" ht="15.75" customHeight="1" x14ac:dyDescent="0.25"/>
    <row r="35" ht="67.5" customHeight="1" x14ac:dyDescent="0.25"/>
  </sheetData>
  <dataValidations count="1">
    <dataValidation type="list" allowBlank="1" showInputMessage="1" showErrorMessage="1" sqref="A9:A14" xr:uid="{1E5C66D6-84F8-4683-AC5D-183A83472E08}">
      <formula1>$A$9:$A$14</formula1>
    </dataValidation>
  </dataValidations>
  <hyperlinks>
    <hyperlink ref="A19" r:id="rId1" xr:uid="{41538AB0-E431-41CA-A6C8-6B12F068D0DE}"/>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C26B52178C15E49A8FBDEC58B5752D5" ma:contentTypeVersion="9" ma:contentTypeDescription="Opret et nyt dokument." ma:contentTypeScope="" ma:versionID="9c1d55ab2244d7c55bc0f6b2f066e744">
  <xsd:schema xmlns:xsd="http://www.w3.org/2001/XMLSchema" xmlns:xs="http://www.w3.org/2001/XMLSchema" xmlns:p="http://schemas.microsoft.com/office/2006/metadata/properties" xmlns:ns3="0bf6cf78-12b1-451c-801a-d528f6b3b8b4" xmlns:ns4="2960bdbd-1701-4127-871a-55004508cd56" targetNamespace="http://schemas.microsoft.com/office/2006/metadata/properties" ma:root="true" ma:fieldsID="3566ba9ba44c4113b3466beb4f348885" ns3:_="" ns4:_="">
    <xsd:import namespace="0bf6cf78-12b1-451c-801a-d528f6b3b8b4"/>
    <xsd:import namespace="2960bdbd-1701-4127-871a-55004508cd5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f6cf78-12b1-451c-801a-d528f6b3b8b4" elementFormDefault="qualified">
    <xsd:import namespace="http://schemas.microsoft.com/office/2006/documentManagement/types"/>
    <xsd:import namespace="http://schemas.microsoft.com/office/infopath/2007/PartnerControls"/>
    <xsd:element name="SharedWithUsers" ma:index="8" nillable="true" ma:displayName="Del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t med detaljer" ma:description="" ma:internalName="SharedWithDetails" ma:readOnly="true">
      <xsd:simpleType>
        <xsd:restriction base="dms:Note">
          <xsd:maxLength value="255"/>
        </xsd:restriction>
      </xsd:simpleType>
    </xsd:element>
    <xsd:element name="SharingHintHash" ma:index="10" nillable="true" ma:displayName="Hashværdi for deling"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0bdbd-1701-4127-871a-55004508cd5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C59FF4-2A40-4545-B48D-C8C518F44CB4}">
  <ds:schemaRefs>
    <ds:schemaRef ds:uri="http://schemas.microsoft.com/sharepoint/v3/contenttype/forms"/>
  </ds:schemaRefs>
</ds:datastoreItem>
</file>

<file path=customXml/itemProps2.xml><?xml version="1.0" encoding="utf-8"?>
<ds:datastoreItem xmlns:ds="http://schemas.openxmlformats.org/officeDocument/2006/customXml" ds:itemID="{61AE7414-A9C0-41CD-93A0-A620E1457F1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960bdbd-1701-4127-871a-55004508cd56"/>
    <ds:schemaRef ds:uri="0bf6cf78-12b1-451c-801a-d528f6b3b8b4"/>
    <ds:schemaRef ds:uri="http://www.w3.org/XML/1998/namespace"/>
    <ds:schemaRef ds:uri="http://purl.org/dc/dcmitype/"/>
  </ds:schemaRefs>
</ds:datastoreItem>
</file>

<file path=customXml/itemProps3.xml><?xml version="1.0" encoding="utf-8"?>
<ds:datastoreItem xmlns:ds="http://schemas.openxmlformats.org/officeDocument/2006/customXml" ds:itemID="{098BA7FB-1416-4803-8AC0-7B0A1E27D7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f6cf78-12b1-451c-801a-d528f6b3b8b4"/>
    <ds:schemaRef ds:uri="2960bdbd-1701-4127-871a-55004508cd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Navngivne områder</vt:lpstr>
      </vt:variant>
      <vt:variant>
        <vt:i4>3</vt:i4>
      </vt:variant>
    </vt:vector>
  </HeadingPairs>
  <TitlesOfParts>
    <vt:vector size="11" baseType="lpstr">
      <vt:lpstr>Intro</vt:lpstr>
      <vt:lpstr>Produktionsdata input</vt:lpstr>
      <vt:lpstr>Klima på slagtegrisen</vt:lpstr>
      <vt:lpstr>Klima på smågrisen</vt:lpstr>
      <vt:lpstr>Beregningmotor</vt:lpstr>
      <vt:lpstr>Foder-database</vt:lpstr>
      <vt:lpstr>Værktøjskassen</vt:lpstr>
      <vt:lpstr>Rulle lister</vt:lpstr>
      <vt:lpstr>'Klima på slagtegrisen'!Udskriftsområde</vt:lpstr>
      <vt:lpstr>'Klima på smågrisen'!Udskriftsområde</vt:lpstr>
      <vt:lpstr>'Produktionsdata input'!Udskriftsområde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Enevoldsen</dc:creator>
  <cp:lastModifiedBy>Finn Udesen</cp:lastModifiedBy>
  <cp:lastPrinted>2021-05-20T09:08:17Z</cp:lastPrinted>
  <dcterms:created xsi:type="dcterms:W3CDTF">2020-01-25T14:09:10Z</dcterms:created>
  <dcterms:modified xsi:type="dcterms:W3CDTF">2021-10-07T13:48:09Z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0x0101005C26B52178C15E49A8FBDEC58B5752D5</vt:lpwstr>
  </property>
</Properties>
</file>