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235" windowHeight="9495" activeTab="2"/>
  </bookViews>
  <sheets>
    <sheet name="§31-19d 2013-14 normtal" sheetId="1" r:id="rId1"/>
    <sheet name="§32-19f, godkendt 2002-12,2006" sheetId="2" r:id="rId2"/>
    <sheet name="§33-19g, godk2007-2011,13-14n" sheetId="3" r:id="rId3"/>
    <sheet name="§33-19g, godkendt 042011-102011" sheetId="4" r:id="rId4"/>
  </sheets>
  <definedNames>
    <definedName name="_xlnm.Print_Area" localSheetId="2">'§33-19g, godk2007-2011,13-14n'!$A$1:$I$81</definedName>
    <definedName name="_xlnm.Print_Area" localSheetId="3">'§33-19g, godkendt 042011-102011'!$A$1:$I$81</definedName>
  </definedNames>
  <calcPr fullCalcOnLoad="1"/>
</workbook>
</file>

<file path=xl/sharedStrings.xml><?xml version="1.0" encoding="utf-8"?>
<sst xmlns="http://schemas.openxmlformats.org/spreadsheetml/2006/main" count="668" uniqueCount="308">
  <si>
    <t>Egne tal</t>
  </si>
  <si>
    <t>Fravænningsvægt, kg</t>
  </si>
  <si>
    <t>Råprotein, g/FEso</t>
  </si>
  <si>
    <t>Fosfor, g/FEso</t>
  </si>
  <si>
    <t>FEso pr årsso</t>
  </si>
  <si>
    <t>N ab dyr i alt, kg N</t>
  </si>
  <si>
    <t>Antal producerede smågrise</t>
  </si>
  <si>
    <t>Indgangsvægt, kg</t>
  </si>
  <si>
    <t>Afgangsvægt, kg</t>
  </si>
  <si>
    <t>FEsv pr kg tilvækst</t>
  </si>
  <si>
    <t xml:space="preserve">N ab dyr pr gris </t>
  </si>
  <si>
    <t>Råprotein, g/FEsv</t>
  </si>
  <si>
    <t>Fosfor, g/FEsv</t>
  </si>
  <si>
    <t>P ab dyr, kg pr gris</t>
  </si>
  <si>
    <t>P ab dyr, kg i alt</t>
  </si>
  <si>
    <t>P ab dyr i alt, kg P</t>
  </si>
  <si>
    <t>DE pr dyr, 2009 definition</t>
  </si>
  <si>
    <t>Antal producerede slagtesvin</t>
  </si>
  <si>
    <t>Antal pr DE, supplerende info</t>
  </si>
  <si>
    <t>Afgangsvægt =slagtevægt x 1,31, kg</t>
  </si>
  <si>
    <t>Slagtesvin</t>
  </si>
  <si>
    <t>P ab dyr, kg pr årsso</t>
  </si>
  <si>
    <t>Fravænnede grise pr årsso</t>
  </si>
  <si>
    <t xml:space="preserve">N ab dyr pr årsso, kg </t>
  </si>
  <si>
    <t>Antal årssøer pr DE, suppl.info</t>
  </si>
  <si>
    <t>DE i alt , 2009 definition</t>
  </si>
  <si>
    <t>DE i alt 2009 definition</t>
  </si>
  <si>
    <t>DE i alt, 2009 definition</t>
  </si>
  <si>
    <t>Smågrise, dvs. max 40 kg</t>
  </si>
  <si>
    <t>Søer med grise til fravænning</t>
  </si>
  <si>
    <t>P ab dyr,kg pr DE, 2009 definition</t>
  </si>
  <si>
    <t>P ab dyr, kg pr DE, 2009 definition</t>
  </si>
  <si>
    <t>Slagtet vægt (levende/1,31)</t>
  </si>
  <si>
    <t>Slagtesvins DE-beregning forudsætter indgangsvægt under 40 kg og afgangsvægt over 87 kg (levende)</t>
  </si>
  <si>
    <t>Normtal</t>
  </si>
  <si>
    <t>Regneark til beregning af udvidelsesmuligheder, anmeldeordning, $19g</t>
  </si>
  <si>
    <t>Godkendt</t>
  </si>
  <si>
    <t xml:space="preserve">godkendt </t>
  </si>
  <si>
    <t>max antal</t>
  </si>
  <si>
    <t>BAT-P</t>
  </si>
  <si>
    <t>pr dyr</t>
  </si>
  <si>
    <t>alene</t>
  </si>
  <si>
    <t>basis N</t>
  </si>
  <si>
    <t>Max P</t>
  </si>
  <si>
    <t>ifølge</t>
  </si>
  <si>
    <t>Både N og P</t>
  </si>
  <si>
    <t>overholdt</t>
  </si>
  <si>
    <t xml:space="preserve">Antal årssøer, </t>
  </si>
  <si>
    <t>Alle gule rubrikker skal udfyldes uanset om der er brugt egne tal</t>
  </si>
  <si>
    <t>P ab lager ifølge normtal, aktuelle staldsystemer, gns.</t>
  </si>
  <si>
    <t xml:space="preserve">N ab dyr pr gris,kg </t>
  </si>
  <si>
    <t>P ab lager ifølge normtal, alle staldsystemer, gns.</t>
  </si>
  <si>
    <t>antal</t>
  </si>
  <si>
    <t>N ab dyr, kg</t>
  </si>
  <si>
    <t>P ab lager, kg</t>
  </si>
  <si>
    <t>P ab dyr, kg</t>
  </si>
  <si>
    <t>vægte</t>
  </si>
  <si>
    <t>godkendte</t>
  </si>
  <si>
    <t>anmeldte</t>
  </si>
  <si>
    <t>Normtal 08/09</t>
  </si>
  <si>
    <t>Dyreenheder</t>
  </si>
  <si>
    <t>Max P, kg</t>
  </si>
  <si>
    <t>kan anmeldes</t>
  </si>
  <si>
    <t>Kan anmeldes</t>
  </si>
  <si>
    <t>Egne tal udfyldes, hvis der er brugt egne tal. Regnearket vælger selv, om basis skal være egne tal eller normtal 2008/09</t>
  </si>
  <si>
    <t>Bat kravet er 23,0 kg pr DE</t>
  </si>
  <si>
    <t>P ab lager ifølge normtal, udbredte staldsystemer.</t>
  </si>
  <si>
    <t>P ab lager pr DE, aktuelle stalde, kg:</t>
  </si>
  <si>
    <t>Max antal</t>
  </si>
  <si>
    <t xml:space="preserve"> </t>
  </si>
  <si>
    <t>(Her tastes P ab lager for fare + løbe/dr.-stalde)</t>
  </si>
  <si>
    <t>basis egne tal for fosfor laves en konkret</t>
  </si>
  <si>
    <t>vurdering, jvnf. Vejledning</t>
  </si>
  <si>
    <t>Hvis P ab dyr i alt overstiger godkendelse</t>
  </si>
  <si>
    <t>hvis antal &gt; 0 ved egne tal indgår egne tal i vurderingen, ellers ikke</t>
  </si>
  <si>
    <t>Bat kravet er 27,8 kg pr DE</t>
  </si>
  <si>
    <t>Gælder ved anmeldelser basis 2012/13 normtal for godkendelser fra jan 2007 til april 2011</t>
  </si>
  <si>
    <t>Normtal 10/11</t>
  </si>
  <si>
    <t>Dette ark beregner udvidelser ifølge $19 f for godkendelser basis DE-definition fra 2002</t>
  </si>
  <si>
    <t>Det er tilladt at opgradere ifølge ændret DE-definition for grise over 25 kg</t>
  </si>
  <si>
    <t>Smågrise</t>
  </si>
  <si>
    <t>vægt ind</t>
  </si>
  <si>
    <t>vægt ud</t>
  </si>
  <si>
    <t>Anmeldt vægtinterval</t>
  </si>
  <si>
    <t>DE tilladt i alt</t>
  </si>
  <si>
    <t>tilladt</t>
  </si>
  <si>
    <t>Antal tilladt i anmeldt vægtinterval</t>
  </si>
  <si>
    <t>Smågrise, dvs afgangsvægt under 40 kg for at beregning er korrekt</t>
  </si>
  <si>
    <t>Antal</t>
  </si>
  <si>
    <t>pr DE</t>
  </si>
  <si>
    <t>i år</t>
  </si>
  <si>
    <t>i alt</t>
  </si>
  <si>
    <t>DE</t>
  </si>
  <si>
    <t>2010+</t>
  </si>
  <si>
    <t>2002-10</t>
  </si>
  <si>
    <t>Kg tilvækst pr DE</t>
  </si>
  <si>
    <t>&lt; 40 kg</t>
  </si>
  <si>
    <t>40-87 kg</t>
  </si>
  <si>
    <t>&gt;87 kg</t>
  </si>
  <si>
    <t>Beregning basis ny definition:</t>
  </si>
  <si>
    <t>&gt;50% fast gulv</t>
  </si>
  <si>
    <t>25-50% fast gulv</t>
  </si>
  <si>
    <t>Delvis fast gulv</t>
  </si>
  <si>
    <t>Drænet gulv</t>
  </si>
  <si>
    <t>Fixerede delvis fast gulv</t>
  </si>
  <si>
    <t>Fixerede fuldspaltegulv</t>
  </si>
  <si>
    <t>N ab dyr</t>
  </si>
  <si>
    <t>N ab lager</t>
  </si>
  <si>
    <t>NH3</t>
  </si>
  <si>
    <t>P ab dyr</t>
  </si>
  <si>
    <t>P ab lager</t>
  </si>
  <si>
    <t>Indg-vægt</t>
  </si>
  <si>
    <t>afg. Vægt</t>
  </si>
  <si>
    <t>prod grise</t>
  </si>
  <si>
    <t>stipladser</t>
  </si>
  <si>
    <t>OU pr stald</t>
  </si>
  <si>
    <t>LE pr stald</t>
  </si>
  <si>
    <t>I alt hele produktion</t>
  </si>
  <si>
    <t>Løbe/dræ.stalde</t>
  </si>
  <si>
    <t>Dage/gris</t>
  </si>
  <si>
    <t>kg</t>
  </si>
  <si>
    <t xml:space="preserve">Smågrise, dvs max 40 kg </t>
  </si>
  <si>
    <t>Slagtesvin, ind før 40 kg og ud efter 87 kg levende</t>
  </si>
  <si>
    <t>Slagtesvin i alt</t>
  </si>
  <si>
    <t>vægt, kg</t>
  </si>
  <si>
    <t>afgangs-</t>
  </si>
  <si>
    <t>grise</t>
  </si>
  <si>
    <t>OU pr</t>
  </si>
  <si>
    <t>1000 kg</t>
  </si>
  <si>
    <t>LE pr</t>
  </si>
  <si>
    <t>Slagtesvin, 32-107 kg</t>
  </si>
  <si>
    <t>Løbe/drægtighesstalde pr årsso</t>
  </si>
  <si>
    <t>Løse dybstrø + spaltegulv</t>
  </si>
  <si>
    <t>Løse dybstrø + fast gulv</t>
  </si>
  <si>
    <t>Løse dybstrøelse</t>
  </si>
  <si>
    <t>Løse delvis fast gulv</t>
  </si>
  <si>
    <t>LE/so</t>
  </si>
  <si>
    <t>For slagtesvin er holddriftsintervallet normalt 12, 13 eller 14 uger, dvs 84, 91 eller 98 dage. Gns. opholdstid er kortere! (lig: (slut-startvægt) / daglig tilv., kg)</t>
  </si>
  <si>
    <t>*For søer vil der ved 28, 31,5 og 35 dages diegivningsperiode være 21%, 22,5% og 24,3% af årssøerne i farestalden - forudsat 5 dage i farestald før faring</t>
  </si>
  <si>
    <t>produc.</t>
  </si>
  <si>
    <t>Smågrise, i alt</t>
  </si>
  <si>
    <t>TIP:Hvis man kender stipladser og holddriftsinterval (dage pr gris), men ikke antal producerede - så gætter man på producerede indtil stipladser passer.</t>
  </si>
  <si>
    <t>OU/so</t>
  </si>
  <si>
    <t>Farestalde</t>
  </si>
  <si>
    <t>Pr årsso i alt:</t>
  </si>
  <si>
    <t>Kontrolberegninger af ammoniak, lugt mm kan ske i faneblad for $19d, selv om der ikke skiftes dyretype</t>
  </si>
  <si>
    <t>Der indtastes i gule felter</t>
  </si>
  <si>
    <t>Svar = max tilladt i grønne felter</t>
  </si>
  <si>
    <t>Egne tal udfyldes, hvis der er brugt egne tal. Regnearket vælger selv, om basis skal være egne tal eller normtal 2010/11</t>
  </si>
  <si>
    <t>Definition af stipladser er ikke helt entydig - er det antal fysiske pladser til rådighed eller gennemsnitlig antal grise på stald? Antal fysiske pladser</t>
  </si>
  <si>
    <t>kan beregnes fra holddriftinterval, mens gns. antal dyr på stald beregnes ud fra dage pr gris fra start til slutvægt. Landsgns er 55 dage småg og 83 dage sl.svin</t>
  </si>
  <si>
    <t>60 LE/1000 kg</t>
  </si>
  <si>
    <t>220 kg/so</t>
  </si>
  <si>
    <t>FMK</t>
  </si>
  <si>
    <t>NH3-N</t>
  </si>
  <si>
    <t>Max tilladt anmeldt</t>
  </si>
  <si>
    <t>Delvis fast gulv, % af farepladser</t>
  </si>
  <si>
    <t>Drænet gulv, % af farepladser</t>
  </si>
  <si>
    <t>Heraf % i farestalde:</t>
  </si>
  <si>
    <t>% af farestipladser</t>
  </si>
  <si>
    <t>antal søer</t>
  </si>
  <si>
    <t>% af løbe/dr pladser</t>
  </si>
  <si>
    <r>
      <t xml:space="preserve">I alt hele produktion, overskridelser er </t>
    </r>
    <r>
      <rPr>
        <b/>
        <sz val="11"/>
        <color indexed="10"/>
        <rFont val="Calibri"/>
        <family val="2"/>
      </rPr>
      <t>røde</t>
    </r>
  </si>
  <si>
    <t>I alt farestalde (skal være 100%)</t>
  </si>
  <si>
    <t>I alt løbe-dr.stalde(skal være 100%)</t>
  </si>
  <si>
    <t>I alt løbe-dr.stalde, (skal være 100%)</t>
  </si>
  <si>
    <t>uændret antal og vægt medføre færre DE efter</t>
  </si>
  <si>
    <t>Det bemærkes, at der i den oprindelige godkendelse kan være brugt lidt forskellige formler til beregning af DE</t>
  </si>
  <si>
    <t>DE/svin</t>
  </si>
  <si>
    <t>Det foreslås her at bruge de godkendte DE fra den oprindelige godkendelse som basis for beregning</t>
  </si>
  <si>
    <t>af hvor mange svin der må være, når DE skal være uændret.</t>
  </si>
  <si>
    <t>DE har været/kan regnes med følgende definitioner</t>
  </si>
  <si>
    <t>antal pr DE</t>
  </si>
  <si>
    <t>30-100</t>
  </si>
  <si>
    <t>30-102</t>
  </si>
  <si>
    <t>32-107</t>
  </si>
  <si>
    <t>32,5 el 32,7</t>
  </si>
  <si>
    <t>34,7 el 35,0</t>
  </si>
  <si>
    <t>Eksempelvis gav vægtintervallet 30-102 kg 34,7 svin pr DE med de eksakte formler, men der har i flere år</t>
  </si>
  <si>
    <t>været brugt en formel, hvor der korrigeres for afvigelser fra 30-102 kg, hvor udgangspunktet var 35 pr DE for 30-102 kg</t>
  </si>
  <si>
    <t>DE indtil 25 kg</t>
  </si>
  <si>
    <t>DE fra 25 til afgangsvægt</t>
  </si>
  <si>
    <t>36,0/36,3</t>
  </si>
  <si>
    <t>afhængig af, om der korrigeres fra et afrundet tal - eller regnes med den oprindelige definition. (36,0 fra 30-100 kg)</t>
  </si>
  <si>
    <t>Slagtesvin, kræver vægt over 25 kg</t>
  </si>
  <si>
    <t>I perioden 2002-2010 er det første tal med eksakte formler</t>
  </si>
  <si>
    <t>mens det andet tal er korrigeret fra det afrundede tal 35,0</t>
  </si>
  <si>
    <t>ved vægtintervallet 30-102 kg.</t>
  </si>
  <si>
    <t>Efter 2010 er der ikke formelforvirring, da det giver det samme</t>
  </si>
  <si>
    <t>at bruge eksakte formler og at korrigere fra 36,0 ved 32-107 kg.</t>
  </si>
  <si>
    <t>eller korrigeret fra 36,0 ved 30-100 kg i den oprindelige definition,</t>
  </si>
  <si>
    <t>Supplerende forklaring:</t>
  </si>
  <si>
    <t>uanset normtalsår for godkendelse</t>
  </si>
  <si>
    <t>så bliver det BAT for fosfor</t>
  </si>
  <si>
    <t>som begrænser udvidelsesmuligheden</t>
  </si>
  <si>
    <t>Da P ab lager stiger,  hvis man udnytter</t>
  </si>
  <si>
    <t xml:space="preserve">Dette kan senere ændres, hvis P i senere </t>
  </si>
  <si>
    <t>normtal kommer under BAT</t>
  </si>
  <si>
    <t>max udvidelse basis uændret N ab dyr</t>
  </si>
  <si>
    <t>Princippet er, at der først beregnes</t>
  </si>
  <si>
    <t>hvor meget der må udvides, basis alene N</t>
  </si>
  <si>
    <t>ifølge BAT</t>
  </si>
  <si>
    <t>Herefter reduceres udvidelsen, så produktionen</t>
  </si>
  <si>
    <t>overholder dette fosforloft.</t>
  </si>
  <si>
    <t>maksimale produktion ud fra N må udlede af fosfor</t>
  </si>
  <si>
    <t>heraf % i drægtighedsstalde :</t>
  </si>
  <si>
    <t>heraf  % i drægtighedsstalde :</t>
  </si>
  <si>
    <t>Årssøer i alt antal:</t>
  </si>
  <si>
    <t>Årssøer i alt antal :</t>
  </si>
  <si>
    <t>definition</t>
  </si>
  <si>
    <t>(Minimal forskel ved to decimaler, da formler giver 36,01,</t>
  </si>
  <si>
    <t>hvor definitionen er 36,0 for 32-107 kg)</t>
  </si>
  <si>
    <t>Individuel opstaldning, fuldspaltegulv</t>
  </si>
  <si>
    <t>Individuel opstaldning, delvis spaltegulv</t>
  </si>
  <si>
    <t>Løse dybstrøelse + spaltegulv</t>
  </si>
  <si>
    <t>Løse dybstrøelse + fast gulv</t>
  </si>
  <si>
    <t>Løse delvis spaltegulv</t>
  </si>
  <si>
    <t>vejledning</t>
  </si>
  <si>
    <t>I gammel FMK-</t>
  </si>
  <si>
    <t>Normtal for ammoniakfordampning</t>
  </si>
  <si>
    <t>er faktisk ikke publiceret. De er her beregnet</t>
  </si>
  <si>
    <t xml:space="preserve">med den beregningsmodel basis TAN, </t>
  </si>
  <si>
    <t>Evt. afvigelser fra husdyrgodkendelse.dk</t>
  </si>
  <si>
    <t>Ammoniakfordampningen afviger fra N ab dyr minus N ab lager</t>
  </si>
  <si>
    <t>pga N i strøelse og afrunding til 2 decimaler i N ab lager</t>
  </si>
  <si>
    <t>kan måske skyldes afrundinger til 2 decimaler</t>
  </si>
  <si>
    <t>som har været anvendt anvendt hidtil, og</t>
  </si>
  <si>
    <t>de er kontrolleret af Aarhus Universitet.</t>
  </si>
  <si>
    <t>i mellemregninger</t>
  </si>
  <si>
    <t>Bemærk</t>
  </si>
  <si>
    <t>ikke krav</t>
  </si>
  <si>
    <t>til max</t>
  </si>
  <si>
    <t>Samme antal dyreenheder, før og efter</t>
  </si>
  <si>
    <t>Her beregnes det tilladte ifølge 19f .</t>
  </si>
  <si>
    <t>Beregningen gælder kun, hvis krav til ammoniak og lugt lever op til teksten i §19f</t>
  </si>
  <si>
    <t>Vær også opmærksom på, der enten enten ikke må udbringes gødning i fosforklasse 2 og 3 eller</t>
  </si>
  <si>
    <t>maksimalt 1,0 DE pr ha, hvis der udbringes på fosforklasse 2 eller 3.</t>
  </si>
  <si>
    <t>DE i alt, godkendt skal indtastes, beregnes ikke</t>
  </si>
  <si>
    <t>VSP</t>
  </si>
  <si>
    <t>Bemærkning:</t>
  </si>
  <si>
    <t>med ovenstående metode stiger fosfor ab</t>
  </si>
  <si>
    <t>lager i alt fra bedriften - men begrænses af BAT-</t>
  </si>
  <si>
    <t>reglen.  Uændret fosfor vil normalt kræve,</t>
  </si>
  <si>
    <t>at der indtastes egne tal for fosfor, ifølge</t>
  </si>
  <si>
    <t>de vilkår, som gælder.</t>
  </si>
  <si>
    <t>kan man vælge at indtaste normtalsforudsætninger</t>
  </si>
  <si>
    <t>i rubrikken til egne tal. Det skal være normtalsforud-</t>
  </si>
  <si>
    <t>sætninger gældende på godkendelsestidspunktet.</t>
  </si>
  <si>
    <t xml:space="preserve">Hvis der ikke er vilkår, og man alligevel vil sikre, at </t>
  </si>
  <si>
    <t xml:space="preserve">Dette er nok reelt kun muligt, hvis der er anvendt </t>
  </si>
  <si>
    <t>samme vægtinterval ved ansøgning som det aktuelle normtal.</t>
  </si>
  <si>
    <t>fosfor ikke stiger på et uændret udbringningsareal,</t>
  </si>
  <si>
    <t>Herefter beregnes, hvor meget denne</t>
  </si>
  <si>
    <t>2013/14</t>
  </si>
  <si>
    <t>Korr. for frav.vægt afvigende fra 7,3 kg</t>
  </si>
  <si>
    <t>Ved nyeste normtal (2013/14)</t>
  </si>
  <si>
    <t>P ab lager ifølge normtal</t>
  </si>
  <si>
    <t>Antal pr DE</t>
  </si>
  <si>
    <t>ved BAT</t>
  </si>
  <si>
    <t>30 kg/ha</t>
  </si>
  <si>
    <t>P ab lager pr DE, valgte stalde,kg:</t>
  </si>
  <si>
    <t>BAT-kravet for fosfor er 30 kg pr ha</t>
  </si>
  <si>
    <t>i anmeldeordning = 21,4 kg pr DE</t>
  </si>
  <si>
    <t xml:space="preserve">Ved miljøgodkendelser er </t>
  </si>
  <si>
    <t>BAT-kravet 20,5 kg P pr DE.</t>
  </si>
  <si>
    <t>BAT-kravet for fosfor reducerer</t>
  </si>
  <si>
    <t>mulighederne for udvidelser</t>
  </si>
  <si>
    <t>ifølge anmeldeordningen</t>
  </si>
  <si>
    <t>Bemærkning for slagtesvin</t>
  </si>
  <si>
    <t>Smågrise, 7,2-32 kg</t>
  </si>
  <si>
    <t>Drænet gulv+spalter</t>
  </si>
  <si>
    <t>Kan kun håndtere beregninger ifølge 2013/14 normtal både før og efter. Der indtastes i gule felter</t>
  </si>
  <si>
    <t>indgangs-</t>
  </si>
  <si>
    <t>Normtal 2013/14</t>
  </si>
  <si>
    <t>(dette faneblad er uændret fra maj 2013)</t>
  </si>
  <si>
    <t>Gælder ved anmeldelser basis 2013/14 normtal for godkendelser fra april 2011 til oktober 2011</t>
  </si>
  <si>
    <t>Bemærk: Det er ikke relevant at bruge §33/19g for godkendelser i denne periode, da udvidelser ikke er mulige basis 13/14 normtal</t>
  </si>
  <si>
    <t>Regneark til skift af dyretype ifølge § 31 som er lig med § 19d</t>
  </si>
  <si>
    <t>For nogle gødningstyper er der også denitrifikation af NH3</t>
  </si>
  <si>
    <t>Aktuel produktion før ændring - eller mulig produktion ifølge § 32 / §19f eller § 33 / §19g ved uændret dyretype.</t>
  </si>
  <si>
    <t>Ønsket produktion ved udnyttelse af § 31 / § 19d. Her prøver man sig frem for at sikre uændret miljøbelastning</t>
  </si>
  <si>
    <t>Version november 2013</t>
  </si>
  <si>
    <t>Drænet+fuldspalter, % af stalde</t>
  </si>
  <si>
    <t>Delvis fast gulv, % af stalde</t>
  </si>
  <si>
    <t>Dybstrøelse+spaltegulv, % af stalde</t>
  </si>
  <si>
    <t>Dybstrøelse, % af stalde</t>
  </si>
  <si>
    <t>Fast gulv, fast møg+ ajle, % af stalde</t>
  </si>
  <si>
    <t>i alt stalde</t>
  </si>
  <si>
    <t>skal være 100</t>
  </si>
  <si>
    <t xml:space="preserve">Her bliver P ab dyr regnet om til </t>
  </si>
  <si>
    <t>P ab lager ud fra staldfordeling</t>
  </si>
  <si>
    <t>farestald</t>
  </si>
  <si>
    <t>drægtighedsstald</t>
  </si>
  <si>
    <t>normtal P ab lager</t>
  </si>
  <si>
    <t>P ab lager pr årsso</t>
  </si>
  <si>
    <t>indtastes i celle D19</t>
  </si>
  <si>
    <t>(brug evt hjælpeberegning nedenfor)</t>
  </si>
  <si>
    <t>Ind. opstaldning delvis fast gulv</t>
  </si>
  <si>
    <t>Ind. opstaldning, fuldspaltegulv</t>
  </si>
  <si>
    <t>Ind. Opstaldning, fast gulv</t>
  </si>
  <si>
    <t>Friland</t>
  </si>
  <si>
    <t>Beregning af P ab lager, aktuelle stalde, søer. Resultat indtastes ovenfor i celle D19.</t>
  </si>
  <si>
    <t>gns P</t>
  </si>
  <si>
    <t>% af søer</t>
  </si>
  <si>
    <t>i alt, % af søer</t>
  </si>
  <si>
    <t>I alt %  -   og gns for P ab lager</t>
  </si>
  <si>
    <t>P ab lager pr DE, valgte stalde, smågrise, kg:</t>
  </si>
  <si>
    <t>P ab lager pr DE, valgte stalde, kg:</t>
  </si>
</sst>
</file>

<file path=xl/styles.xml><?xml version="1.0" encoding="utf-8"?>
<styleSheet xmlns="http://schemas.openxmlformats.org/spreadsheetml/2006/main">
  <numFmts count="1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"/>
    <numFmt numFmtId="171" formatCode="0.0000000000"/>
    <numFmt numFmtId="172" formatCode="0.00000000000"/>
    <numFmt numFmtId="173" formatCode="0.00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30"/>
      <name val="Calibri"/>
      <family val="2"/>
    </font>
    <font>
      <sz val="11"/>
      <color indexed="3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70C0"/>
      <name val="Calibri"/>
      <family val="2"/>
    </font>
    <font>
      <sz val="11"/>
      <color rgb="FF7030A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3" applyNumberFormat="0" applyAlignment="0" applyProtection="0"/>
    <xf numFmtId="0" fontId="40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Font="1" applyAlignment="1">
      <alignment/>
    </xf>
    <xf numFmtId="165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10" borderId="0" xfId="0" applyFill="1" applyAlignment="1">
      <alignment/>
    </xf>
    <xf numFmtId="0" fontId="0" fillId="33" borderId="0" xfId="0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2" fontId="0" fillId="0" borderId="0" xfId="0" applyNumberFormat="1" applyAlignment="1">
      <alignment/>
    </xf>
    <xf numFmtId="165" fontId="0" fillId="0" borderId="0" xfId="0" applyNumberFormat="1" applyFill="1" applyAlignment="1">
      <alignment horizontal="center"/>
    </xf>
    <xf numFmtId="0" fontId="48" fillId="0" borderId="0" xfId="0" applyFont="1" applyFill="1" applyAlignment="1">
      <alignment/>
    </xf>
    <xf numFmtId="170" fontId="50" fillId="33" borderId="0" xfId="0" applyNumberFormat="1" applyFont="1" applyFill="1" applyAlignment="1" applyProtection="1">
      <alignment horizontal="center"/>
      <protection locked="0"/>
    </xf>
    <xf numFmtId="0" fontId="33" fillId="0" borderId="0" xfId="0" applyFont="1" applyFill="1" applyAlignment="1">
      <alignment/>
    </xf>
    <xf numFmtId="0" fontId="0" fillId="7" borderId="0" xfId="0" applyFill="1" applyAlignment="1">
      <alignment/>
    </xf>
    <xf numFmtId="0" fontId="48" fillId="16" borderId="0" xfId="0" applyFont="1" applyFill="1" applyAlignment="1">
      <alignment/>
    </xf>
    <xf numFmtId="0" fontId="0" fillId="16" borderId="0" xfId="0" applyFill="1" applyAlignment="1">
      <alignment/>
    </xf>
    <xf numFmtId="170" fontId="33" fillId="16" borderId="0" xfId="0" applyNumberFormat="1" applyFont="1" applyFill="1" applyAlignment="1">
      <alignment/>
    </xf>
    <xf numFmtId="2" fontId="33" fillId="16" borderId="0" xfId="0" applyNumberFormat="1" applyFont="1" applyFill="1" applyAlignment="1">
      <alignment/>
    </xf>
    <xf numFmtId="170" fontId="33" fillId="10" borderId="0" xfId="0" applyNumberFormat="1" applyFont="1" applyFill="1" applyAlignment="1">
      <alignment/>
    </xf>
    <xf numFmtId="2" fontId="33" fillId="10" borderId="0" xfId="0" applyNumberFormat="1" applyFont="1" applyFill="1" applyAlignment="1">
      <alignment/>
    </xf>
    <xf numFmtId="0" fontId="48" fillId="4" borderId="0" xfId="0" applyFont="1" applyFill="1" applyAlignment="1">
      <alignment/>
    </xf>
    <xf numFmtId="0" fontId="0" fillId="4" borderId="0" xfId="0" applyFill="1" applyAlignment="1">
      <alignment/>
    </xf>
    <xf numFmtId="0" fontId="33" fillId="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 applyProtection="1">
      <alignment horizontal="center"/>
      <protection locked="0"/>
    </xf>
    <xf numFmtId="170" fontId="0" fillId="34" borderId="0" xfId="0" applyNumberFormat="1" applyFill="1" applyAlignment="1" applyProtection="1">
      <alignment horizontal="center"/>
      <protection locked="0"/>
    </xf>
    <xf numFmtId="2" fontId="0" fillId="34" borderId="0" xfId="0" applyNumberFormat="1" applyFill="1" applyAlignment="1" applyProtection="1">
      <alignment horizontal="center"/>
      <protection locked="0"/>
    </xf>
    <xf numFmtId="165" fontId="0" fillId="34" borderId="0" xfId="0" applyNumberFormat="1" applyFill="1" applyAlignment="1" applyProtection="1">
      <alignment horizontal="center"/>
      <protection locked="0"/>
    </xf>
    <xf numFmtId="170" fontId="51" fillId="33" borderId="0" xfId="0" applyNumberFormat="1" applyFont="1" applyFill="1" applyAlignment="1" applyProtection="1">
      <alignment horizontal="center"/>
      <protection locked="0"/>
    </xf>
    <xf numFmtId="0" fontId="48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/>
    </xf>
    <xf numFmtId="2" fontId="0" fillId="4" borderId="0" xfId="0" applyNumberFormat="1" applyFill="1" applyAlignment="1" applyProtection="1">
      <alignment horizontal="center"/>
      <protection locked="0"/>
    </xf>
    <xf numFmtId="2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170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/>
    </xf>
    <xf numFmtId="1" fontId="23" fillId="4" borderId="0" xfId="0" applyNumberFormat="1" applyFont="1" applyFill="1" applyAlignment="1">
      <alignment horizontal="center"/>
    </xf>
    <xf numFmtId="0" fontId="24" fillId="7" borderId="0" xfId="0" applyFont="1" applyFill="1" applyAlignment="1">
      <alignment/>
    </xf>
    <xf numFmtId="2" fontId="0" fillId="7" borderId="0" xfId="0" applyNumberFormat="1" applyFill="1" applyAlignment="1">
      <alignment/>
    </xf>
    <xf numFmtId="0" fontId="48" fillId="7" borderId="0" xfId="0" applyFont="1" applyFill="1" applyAlignment="1">
      <alignment/>
    </xf>
    <xf numFmtId="0" fontId="48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65" fontId="0" fillId="7" borderId="0" xfId="0" applyNumberFormat="1" applyFill="1" applyAlignment="1">
      <alignment/>
    </xf>
    <xf numFmtId="165" fontId="0" fillId="7" borderId="0" xfId="0" applyNumberFormat="1" applyFill="1" applyAlignment="1">
      <alignment horizontal="center"/>
    </xf>
    <xf numFmtId="1" fontId="23" fillId="7" borderId="0" xfId="0" applyNumberFormat="1" applyFont="1" applyFill="1" applyAlignment="1">
      <alignment horizontal="center"/>
    </xf>
    <xf numFmtId="1" fontId="0" fillId="7" borderId="0" xfId="0" applyNumberFormat="1" applyFill="1" applyAlignment="1">
      <alignment horizontal="center"/>
    </xf>
    <xf numFmtId="0" fontId="33" fillId="7" borderId="0" xfId="0" applyFont="1" applyFill="1" applyAlignment="1">
      <alignment/>
    </xf>
    <xf numFmtId="169" fontId="0" fillId="7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170" fontId="0" fillId="7" borderId="0" xfId="0" applyNumberFormat="1" applyFill="1" applyAlignment="1">
      <alignment horizontal="center"/>
    </xf>
    <xf numFmtId="2" fontId="0" fillId="13" borderId="0" xfId="0" applyNumberFormat="1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2" fontId="33" fillId="13" borderId="0" xfId="0" applyNumberFormat="1" applyFont="1" applyFill="1" applyAlignment="1">
      <alignment/>
    </xf>
    <xf numFmtId="170" fontId="33" fillId="13" borderId="0" xfId="0" applyNumberFormat="1" applyFont="1" applyFill="1" applyAlignment="1">
      <alignment/>
    </xf>
    <xf numFmtId="170" fontId="0" fillId="13" borderId="0" xfId="0" applyNumberFormat="1" applyFill="1" applyAlignment="1">
      <alignment/>
    </xf>
    <xf numFmtId="0" fontId="23" fillId="13" borderId="0" xfId="0" applyFont="1" applyFill="1" applyAlignment="1">
      <alignment/>
    </xf>
    <xf numFmtId="0" fontId="23" fillId="10" borderId="0" xfId="0" applyFont="1" applyFill="1" applyAlignment="1">
      <alignment/>
    </xf>
    <xf numFmtId="2" fontId="0" fillId="10" borderId="0" xfId="0" applyNumberFormat="1" applyFill="1" applyAlignment="1">
      <alignment/>
    </xf>
    <xf numFmtId="170" fontId="0" fillId="4" borderId="0" xfId="0" applyNumberFormat="1" applyFill="1" applyAlignment="1" applyProtection="1">
      <alignment horizontal="center"/>
      <protection/>
    </xf>
    <xf numFmtId="0" fontId="52" fillId="0" borderId="0" xfId="0" applyFont="1" applyAlignment="1">
      <alignment/>
    </xf>
    <xf numFmtId="0" fontId="51" fillId="33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/>
    </xf>
    <xf numFmtId="2" fontId="0" fillId="4" borderId="0" xfId="0" applyNumberFormat="1" applyFill="1" applyAlignment="1" applyProtection="1">
      <alignment horizontal="center"/>
      <protection/>
    </xf>
    <xf numFmtId="170" fontId="50" fillId="7" borderId="0" xfId="0" applyNumberFormat="1" applyFont="1" applyFill="1" applyAlignment="1" applyProtection="1">
      <alignment horizontal="center"/>
      <protection/>
    </xf>
    <xf numFmtId="0" fontId="51" fillId="7" borderId="0" xfId="0" applyFont="1" applyFill="1" applyAlignment="1" applyProtection="1">
      <alignment horizontal="center"/>
      <protection/>
    </xf>
    <xf numFmtId="2" fontId="50" fillId="7" borderId="0" xfId="0" applyNumberFormat="1" applyFont="1" applyFill="1" applyAlignment="1" applyProtection="1">
      <alignment horizontal="center"/>
      <protection/>
    </xf>
    <xf numFmtId="165" fontId="0" fillId="7" borderId="0" xfId="0" applyNumberFormat="1" applyFill="1" applyAlignment="1" applyProtection="1">
      <alignment horizontal="center"/>
      <protection/>
    </xf>
    <xf numFmtId="0" fontId="0" fillId="7" borderId="0" xfId="0" applyFill="1" applyAlignment="1" applyProtection="1">
      <alignment horizontal="center"/>
      <protection/>
    </xf>
    <xf numFmtId="170" fontId="50" fillId="4" borderId="0" xfId="0" applyNumberFormat="1" applyFont="1" applyFill="1" applyAlignment="1" applyProtection="1">
      <alignment horizontal="center"/>
      <protection/>
    </xf>
    <xf numFmtId="0" fontId="51" fillId="4" borderId="0" xfId="0" applyFont="1" applyFill="1" applyAlignment="1" applyProtection="1">
      <alignment horizontal="center"/>
      <protection/>
    </xf>
    <xf numFmtId="2" fontId="50" fillId="4" borderId="0" xfId="0" applyNumberFormat="1" applyFont="1" applyFill="1" applyAlignment="1" applyProtection="1">
      <alignment horizontal="center"/>
      <protection/>
    </xf>
    <xf numFmtId="165" fontId="0" fillId="4" borderId="0" xfId="0" applyNumberFormat="1" applyFill="1" applyAlignment="1" applyProtection="1">
      <alignment horizontal="center"/>
      <protection/>
    </xf>
    <xf numFmtId="165" fontId="33" fillId="13" borderId="0" xfId="0" applyNumberFormat="1" applyFont="1" applyFill="1" applyAlignment="1">
      <alignment/>
    </xf>
    <xf numFmtId="165" fontId="33" fillId="10" borderId="0" xfId="0" applyNumberFormat="1" applyFont="1" applyFill="1" applyAlignment="1">
      <alignment/>
    </xf>
    <xf numFmtId="0" fontId="24" fillId="10" borderId="0" xfId="0" applyFont="1" applyFill="1" applyAlignment="1">
      <alignment/>
    </xf>
    <xf numFmtId="0" fontId="24" fillId="13" borderId="0" xfId="0" applyFont="1" applyFill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1" fontId="48" fillId="35" borderId="0" xfId="0" applyNumberFormat="1" applyFont="1" applyFill="1" applyAlignment="1">
      <alignment horizontal="center"/>
    </xf>
    <xf numFmtId="169" fontId="0" fillId="4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4" fillId="0" borderId="0" xfId="0" applyFont="1" applyAlignment="1">
      <alignment/>
    </xf>
    <xf numFmtId="170" fontId="0" fillId="4" borderId="0" xfId="0" applyNumberFormat="1" applyFill="1" applyAlignment="1">
      <alignment/>
    </xf>
    <xf numFmtId="0" fontId="33" fillId="0" borderId="0" xfId="0" applyFont="1" applyAlignment="1">
      <alignment/>
    </xf>
    <xf numFmtId="0" fontId="55" fillId="12" borderId="0" xfId="0" applyFont="1" applyFill="1" applyAlignment="1">
      <alignment/>
    </xf>
    <xf numFmtId="0" fontId="0" fillId="12" borderId="0" xfId="0" applyFill="1" applyAlignment="1">
      <alignment/>
    </xf>
    <xf numFmtId="0" fontId="48" fillId="12" borderId="0" xfId="0" applyFont="1" applyFill="1" applyAlignment="1">
      <alignment/>
    </xf>
    <xf numFmtId="0" fontId="55" fillId="7" borderId="0" xfId="0" applyFont="1" applyFill="1" applyAlignment="1">
      <alignment/>
    </xf>
    <xf numFmtId="170" fontId="0" fillId="7" borderId="0" xfId="0" applyNumberFormat="1" applyFill="1" applyAlignment="1">
      <alignment/>
    </xf>
    <xf numFmtId="0" fontId="0" fillId="6" borderId="0" xfId="0" applyFill="1" applyAlignment="1">
      <alignment/>
    </xf>
    <xf numFmtId="0" fontId="48" fillId="6" borderId="0" xfId="0" applyFont="1" applyFill="1" applyAlignment="1">
      <alignment/>
    </xf>
    <xf numFmtId="0" fontId="55" fillId="4" borderId="0" xfId="0" applyFont="1" applyFill="1" applyAlignment="1">
      <alignment/>
    </xf>
    <xf numFmtId="170" fontId="0" fillId="10" borderId="0" xfId="0" applyNumberFormat="1" applyFill="1" applyAlignment="1">
      <alignment horizontal="center"/>
    </xf>
    <xf numFmtId="0" fontId="0" fillId="12" borderId="0" xfId="0" applyFill="1" applyAlignment="1">
      <alignment horizontal="center"/>
    </xf>
    <xf numFmtId="170" fontId="0" fillId="13" borderId="0" xfId="0" applyNumberFormat="1" applyFill="1" applyAlignment="1">
      <alignment horizontal="center"/>
    </xf>
    <xf numFmtId="170" fontId="0" fillId="19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170" fontId="0" fillId="33" borderId="0" xfId="0" applyNumberFormat="1" applyFill="1" applyAlignment="1" applyProtection="1">
      <alignment horizontal="center"/>
      <protection locked="0"/>
    </xf>
    <xf numFmtId="0" fontId="0" fillId="18" borderId="0" xfId="0" applyFill="1" applyAlignment="1">
      <alignment horizontal="center"/>
    </xf>
    <xf numFmtId="0" fontId="0" fillId="19" borderId="0" xfId="0" applyFill="1" applyAlignment="1">
      <alignment/>
    </xf>
    <xf numFmtId="0" fontId="0" fillId="19" borderId="0" xfId="0" applyFill="1" applyAlignment="1">
      <alignment horizontal="center"/>
    </xf>
    <xf numFmtId="0" fontId="48" fillId="19" borderId="0" xfId="0" applyFont="1" applyFill="1" applyAlignment="1">
      <alignment/>
    </xf>
    <xf numFmtId="0" fontId="0" fillId="6" borderId="0" xfId="0" applyFill="1" applyAlignment="1">
      <alignment horizontal="center"/>
    </xf>
    <xf numFmtId="0" fontId="33" fillId="6" borderId="0" xfId="0" applyFont="1" applyFill="1" applyAlignment="1">
      <alignment horizontal="center"/>
    </xf>
    <xf numFmtId="0" fontId="33" fillId="12" borderId="0" xfId="0" applyFont="1" applyFill="1" applyAlignment="1">
      <alignment horizontal="center"/>
    </xf>
    <xf numFmtId="0" fontId="33" fillId="12" borderId="0" xfId="0" applyFont="1" applyFill="1" applyAlignment="1">
      <alignment/>
    </xf>
    <xf numFmtId="0" fontId="52" fillId="12" borderId="0" xfId="0" applyFont="1" applyFill="1" applyAlignment="1">
      <alignment/>
    </xf>
    <xf numFmtId="0" fontId="48" fillId="18" borderId="0" xfId="0" applyFont="1" applyFill="1" applyAlignment="1">
      <alignment/>
    </xf>
    <xf numFmtId="0" fontId="33" fillId="18" borderId="0" xfId="0" applyFont="1" applyFill="1" applyAlignment="1">
      <alignment horizontal="center"/>
    </xf>
    <xf numFmtId="0" fontId="23" fillId="12" borderId="0" xfId="0" applyFont="1" applyFill="1" applyAlignment="1">
      <alignment horizontal="center"/>
    </xf>
    <xf numFmtId="0" fontId="23" fillId="6" borderId="0" xfId="0" applyFont="1" applyFill="1" applyAlignment="1">
      <alignment horizontal="center"/>
    </xf>
    <xf numFmtId="0" fontId="33" fillId="6" borderId="0" xfId="0" applyFont="1" applyFill="1" applyAlignment="1">
      <alignment/>
    </xf>
    <xf numFmtId="0" fontId="0" fillId="16" borderId="0" xfId="0" applyFill="1" applyAlignment="1">
      <alignment horizontal="center"/>
    </xf>
    <xf numFmtId="170" fontId="0" fillId="16" borderId="0" xfId="0" applyNumberFormat="1" applyFill="1" applyAlignment="1">
      <alignment horizontal="center"/>
    </xf>
    <xf numFmtId="0" fontId="0" fillId="4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3" fillId="0" borderId="0" xfId="0" applyFont="1" applyFill="1" applyAlignment="1">
      <alignment horizontal="left"/>
    </xf>
    <xf numFmtId="0" fontId="48" fillId="0" borderId="0" xfId="0" applyFont="1" applyAlignment="1">
      <alignment horizontal="left"/>
    </xf>
    <xf numFmtId="2" fontId="23" fillId="4" borderId="0" xfId="0" applyNumberFormat="1" applyFont="1" applyFill="1" applyAlignment="1">
      <alignment horizontal="center"/>
    </xf>
    <xf numFmtId="2" fontId="23" fillId="7" borderId="0" xfId="0" applyNumberFormat="1" applyFont="1" applyFill="1" applyAlignment="1">
      <alignment horizontal="center"/>
    </xf>
    <xf numFmtId="0" fontId="48" fillId="13" borderId="0" xfId="0" applyFont="1" applyFill="1" applyAlignment="1">
      <alignment/>
    </xf>
    <xf numFmtId="0" fontId="48" fillId="10" borderId="0" xfId="0" applyFont="1" applyFill="1" applyAlignment="1">
      <alignment/>
    </xf>
    <xf numFmtId="170" fontId="0" fillId="19" borderId="0" xfId="0" applyNumberFormat="1" applyFill="1" applyAlignment="1">
      <alignment/>
    </xf>
    <xf numFmtId="170" fontId="0" fillId="35" borderId="0" xfId="0" applyNumberFormat="1" applyFill="1" applyAlignment="1">
      <alignment horizontal="center"/>
    </xf>
    <xf numFmtId="1" fontId="48" fillId="35" borderId="0" xfId="0" applyNumberFormat="1" applyFont="1" applyFill="1" applyAlignment="1">
      <alignment/>
    </xf>
    <xf numFmtId="0" fontId="23" fillId="18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56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170" fontId="0" fillId="35" borderId="0" xfId="0" applyNumberFormat="1" applyFill="1" applyAlignment="1">
      <alignment/>
    </xf>
    <xf numFmtId="170" fontId="0" fillId="20" borderId="0" xfId="0" applyNumberFormat="1" applyFill="1" applyAlignment="1">
      <alignment horizontal="center"/>
    </xf>
    <xf numFmtId="0" fontId="0" fillId="20" borderId="0" xfId="0" applyFill="1" applyAlignment="1">
      <alignment horizontal="center"/>
    </xf>
    <xf numFmtId="170" fontId="0" fillId="20" borderId="0" xfId="0" applyNumberFormat="1" applyFill="1" applyAlignment="1">
      <alignment horizontal="left"/>
    </xf>
    <xf numFmtId="0" fontId="0" fillId="20" borderId="0" xfId="0" applyFill="1" applyAlignment="1">
      <alignment/>
    </xf>
    <xf numFmtId="0" fontId="23" fillId="20" borderId="0" xfId="0" applyFont="1" applyFill="1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 horizontal="left"/>
    </xf>
    <xf numFmtId="0" fontId="0" fillId="36" borderId="0" xfId="0" applyFill="1" applyAlignment="1">
      <alignment/>
    </xf>
    <xf numFmtId="165" fontId="23" fillId="7" borderId="0" xfId="0" applyNumberFormat="1" applyFont="1" applyFill="1" applyAlignment="1">
      <alignment horizontal="center"/>
    </xf>
    <xf numFmtId="165" fontId="23" fillId="6" borderId="0" xfId="0" applyNumberFormat="1" applyFont="1" applyFill="1" applyAlignment="1">
      <alignment horizontal="center"/>
    </xf>
    <xf numFmtId="2" fontId="23" fillId="6" borderId="0" xfId="0" applyNumberFormat="1" applyFont="1" applyFill="1" applyAlignment="1">
      <alignment horizontal="center"/>
    </xf>
    <xf numFmtId="2" fontId="23" fillId="12" borderId="0" xfId="0" applyNumberFormat="1" applyFont="1" applyFill="1" applyAlignment="1">
      <alignment horizontal="center"/>
    </xf>
    <xf numFmtId="165" fontId="23" fillId="12" borderId="0" xfId="0" applyNumberFormat="1" applyFont="1" applyFill="1" applyAlignment="1">
      <alignment horizontal="center"/>
    </xf>
    <xf numFmtId="170" fontId="23" fillId="7" borderId="0" xfId="0" applyNumberFormat="1" applyFont="1" applyFill="1" applyAlignment="1">
      <alignment horizontal="center"/>
    </xf>
    <xf numFmtId="170" fontId="23" fillId="4" borderId="0" xfId="0" applyNumberFormat="1" applyFont="1" applyFill="1" applyAlignment="1">
      <alignment horizontal="center"/>
    </xf>
    <xf numFmtId="0" fontId="57" fillId="0" borderId="0" xfId="0" applyFont="1" applyFill="1" applyAlignment="1">
      <alignment/>
    </xf>
    <xf numFmtId="0" fontId="23" fillId="35" borderId="0" xfId="0" applyFont="1" applyFill="1" applyAlignment="1">
      <alignment/>
    </xf>
    <xf numFmtId="0" fontId="33" fillId="35" borderId="0" xfId="0" applyFont="1" applyFill="1" applyAlignment="1">
      <alignment/>
    </xf>
    <xf numFmtId="0" fontId="23" fillId="35" borderId="0" xfId="0" applyFont="1" applyFill="1" applyAlignment="1">
      <alignment horizontal="left"/>
    </xf>
    <xf numFmtId="0" fontId="0" fillId="33" borderId="0" xfId="0" applyFill="1" applyAlignment="1" applyProtection="1">
      <alignment/>
      <protection locked="0"/>
    </xf>
    <xf numFmtId="164" fontId="33" fillId="7" borderId="0" xfId="0" applyNumberFormat="1" applyFont="1" applyFill="1" applyAlignment="1" applyProtection="1">
      <alignment horizontal="center"/>
      <protection/>
    </xf>
    <xf numFmtId="164" fontId="33" fillId="4" borderId="0" xfId="0" applyNumberFormat="1" applyFont="1" applyFill="1" applyAlignment="1" applyProtection="1">
      <alignment horizontal="center"/>
      <protection/>
    </xf>
    <xf numFmtId="164" fontId="23" fillId="7" borderId="0" xfId="0" applyNumberFormat="1" applyFont="1" applyFill="1" applyAlignment="1">
      <alignment horizontal="center"/>
    </xf>
    <xf numFmtId="170" fontId="23" fillId="33" borderId="0" xfId="0" applyNumberFormat="1" applyFont="1" applyFill="1" applyAlignment="1" applyProtection="1">
      <alignment horizontal="center"/>
      <protection locked="0"/>
    </xf>
    <xf numFmtId="170" fontId="33" fillId="0" borderId="0" xfId="0" applyNumberFormat="1" applyFont="1" applyFill="1" applyAlignment="1">
      <alignment horizontal="center"/>
    </xf>
    <xf numFmtId="165" fontId="23" fillId="16" borderId="0" xfId="0" applyNumberFormat="1" applyFont="1" applyFill="1" applyAlignment="1">
      <alignment horizontal="center"/>
    </xf>
    <xf numFmtId="0" fontId="23" fillId="16" borderId="0" xfId="0" applyFont="1" applyFill="1" applyAlignment="1">
      <alignment horizontal="center"/>
    </xf>
    <xf numFmtId="0" fontId="24" fillId="16" borderId="0" xfId="0" applyFont="1" applyFill="1" applyAlignment="1">
      <alignment horizontal="center"/>
    </xf>
    <xf numFmtId="0" fontId="58" fillId="0" borderId="0" xfId="0" applyFont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23.28125" style="0" customWidth="1"/>
    <col min="4" max="4" width="9.7109375" style="0" customWidth="1"/>
    <col min="7" max="8" width="9.28125" style="0" customWidth="1"/>
    <col min="12" max="12" width="10.57421875" style="0" customWidth="1"/>
    <col min="14" max="14" width="9.57421875" style="0" bestFit="1" customWidth="1"/>
  </cols>
  <sheetData>
    <row r="1" spans="1:12" ht="23.25">
      <c r="A1" s="90" t="s">
        <v>277</v>
      </c>
      <c r="K1" s="4"/>
      <c r="L1" s="4"/>
    </row>
    <row r="2" spans="1:13" ht="15">
      <c r="A2" s="3" t="s">
        <v>271</v>
      </c>
      <c r="B2" s="3"/>
      <c r="C2" s="3"/>
      <c r="D2" s="3"/>
      <c r="E2" s="3"/>
      <c r="F2" s="3"/>
      <c r="G2" s="3"/>
      <c r="H2" s="3"/>
      <c r="I2" s="4"/>
      <c r="J2" s="89"/>
      <c r="K2" s="147" t="s">
        <v>238</v>
      </c>
      <c r="L2" s="146"/>
      <c r="M2" s="146"/>
    </row>
    <row r="3" spans="1:13" ht="18.75">
      <c r="A3" s="93" t="s">
        <v>273</v>
      </c>
      <c r="B3" s="94"/>
      <c r="C3" s="94"/>
      <c r="D3" s="114"/>
      <c r="E3" s="94"/>
      <c r="F3" s="94"/>
      <c r="G3" s="94"/>
      <c r="H3" s="102" t="s">
        <v>153</v>
      </c>
      <c r="I3" s="4"/>
      <c r="J3" s="89"/>
      <c r="K3" s="147" t="s">
        <v>281</v>
      </c>
      <c r="L3" s="146"/>
      <c r="M3" s="146"/>
    </row>
    <row r="4" spans="1:13" ht="21">
      <c r="A4" s="115"/>
      <c r="B4" s="102" t="s">
        <v>106</v>
      </c>
      <c r="C4" s="102" t="s">
        <v>107</v>
      </c>
      <c r="D4" s="102" t="s">
        <v>154</v>
      </c>
      <c r="E4" s="102" t="s">
        <v>109</v>
      </c>
      <c r="F4" s="102" t="s">
        <v>110</v>
      </c>
      <c r="G4" s="102" t="s">
        <v>127</v>
      </c>
      <c r="H4" s="102" t="s">
        <v>129</v>
      </c>
      <c r="I4" s="4"/>
      <c r="J4" s="89"/>
      <c r="K4" s="89"/>
      <c r="L4" s="89"/>
      <c r="M4" s="89"/>
    </row>
    <row r="5" spans="1:13" ht="15">
      <c r="A5" s="95"/>
      <c r="B5" s="102" t="s">
        <v>120</v>
      </c>
      <c r="C5" s="102" t="s">
        <v>120</v>
      </c>
      <c r="D5" s="102" t="s">
        <v>120</v>
      </c>
      <c r="E5" s="102" t="s">
        <v>120</v>
      </c>
      <c r="F5" s="102" t="s">
        <v>120</v>
      </c>
      <c r="G5" s="102" t="s">
        <v>128</v>
      </c>
      <c r="H5" s="102" t="s">
        <v>128</v>
      </c>
      <c r="I5" s="4"/>
      <c r="J5" s="89"/>
      <c r="K5" s="125"/>
      <c r="L5" s="89"/>
      <c r="M5" s="89"/>
    </row>
    <row r="6" spans="1:13" ht="15">
      <c r="A6" s="99" t="s">
        <v>269</v>
      </c>
      <c r="B6" s="111"/>
      <c r="C6" s="111"/>
      <c r="D6" s="111"/>
      <c r="E6" s="111"/>
      <c r="F6" s="111"/>
      <c r="G6" s="111"/>
      <c r="H6" s="111"/>
      <c r="I6" s="4"/>
      <c r="J6" s="138"/>
      <c r="K6" s="125"/>
      <c r="L6" s="89"/>
      <c r="M6" s="89"/>
    </row>
    <row r="7" spans="1:13" ht="15">
      <c r="A7" s="98" t="s">
        <v>102</v>
      </c>
      <c r="B7" s="119">
        <v>0.51</v>
      </c>
      <c r="C7" s="119">
        <v>0.48</v>
      </c>
      <c r="D7" s="119">
        <v>0.038</v>
      </c>
      <c r="E7" s="119">
        <v>0.136</v>
      </c>
      <c r="F7" s="119">
        <v>0.137</v>
      </c>
      <c r="G7" s="111">
        <v>380</v>
      </c>
      <c r="H7" s="111">
        <v>210</v>
      </c>
      <c r="I7" s="4"/>
      <c r="J7" s="138"/>
      <c r="K7" s="125"/>
      <c r="L7" s="89"/>
      <c r="M7" s="89"/>
    </row>
    <row r="8" spans="1:13" ht="15">
      <c r="A8" s="98" t="s">
        <v>270</v>
      </c>
      <c r="B8" s="119">
        <v>0.51</v>
      </c>
      <c r="C8" s="119">
        <v>0.44</v>
      </c>
      <c r="D8" s="119">
        <v>0.0712</v>
      </c>
      <c r="E8" s="119">
        <v>0.136</v>
      </c>
      <c r="F8" s="119">
        <v>0.136</v>
      </c>
      <c r="G8" s="111">
        <v>380</v>
      </c>
      <c r="H8" s="111">
        <v>210</v>
      </c>
      <c r="I8" s="4"/>
      <c r="J8" s="138"/>
      <c r="K8" s="125"/>
      <c r="L8" s="89"/>
      <c r="M8" s="89"/>
    </row>
    <row r="9" spans="1:13" ht="15">
      <c r="A9" s="95" t="s">
        <v>130</v>
      </c>
      <c r="B9" s="102"/>
      <c r="C9" s="102"/>
      <c r="D9" s="113"/>
      <c r="E9" s="102"/>
      <c r="F9" s="102"/>
      <c r="G9" s="102"/>
      <c r="H9" s="102"/>
      <c r="I9" s="4"/>
      <c r="J9" s="138"/>
      <c r="K9" s="125"/>
      <c r="L9" s="89"/>
      <c r="M9" s="89"/>
    </row>
    <row r="10" spans="1:13" ht="15">
      <c r="A10" s="94" t="s">
        <v>100</v>
      </c>
      <c r="B10" s="118">
        <v>2.84</v>
      </c>
      <c r="C10" s="118">
        <v>2.57</v>
      </c>
      <c r="D10" s="118">
        <v>0.2853</v>
      </c>
      <c r="E10" s="118">
        <v>0.617</v>
      </c>
      <c r="F10" s="118">
        <v>0.619</v>
      </c>
      <c r="G10" s="102">
        <v>300</v>
      </c>
      <c r="H10" s="102">
        <v>150</v>
      </c>
      <c r="I10" s="4"/>
      <c r="J10" s="89"/>
      <c r="K10" s="125"/>
      <c r="L10" s="89"/>
      <c r="M10" s="89"/>
    </row>
    <row r="11" spans="1:13" ht="15">
      <c r="A11" s="94" t="s">
        <v>101</v>
      </c>
      <c r="B11" s="118">
        <v>2.84</v>
      </c>
      <c r="C11" s="118">
        <v>2.49</v>
      </c>
      <c r="D11" s="118">
        <v>0.3586</v>
      </c>
      <c r="E11" s="118">
        <v>0.617</v>
      </c>
      <c r="F11" s="118">
        <v>0.619</v>
      </c>
      <c r="G11" s="102">
        <v>300</v>
      </c>
      <c r="H11" s="102">
        <v>150</v>
      </c>
      <c r="I11" s="4"/>
      <c r="J11" s="89"/>
      <c r="K11" s="139" t="s">
        <v>219</v>
      </c>
      <c r="L11" s="89"/>
      <c r="M11" s="4"/>
    </row>
    <row r="12" spans="1:12" ht="15">
      <c r="A12" s="94" t="s">
        <v>270</v>
      </c>
      <c r="B12" s="118">
        <v>2.84</v>
      </c>
      <c r="C12" s="118">
        <v>2.41</v>
      </c>
      <c r="D12" s="118">
        <v>0.4319</v>
      </c>
      <c r="E12" s="118">
        <v>0.617</v>
      </c>
      <c r="F12" s="118">
        <v>0.617</v>
      </c>
      <c r="G12" s="102">
        <v>450</v>
      </c>
      <c r="H12" s="118">
        <v>150</v>
      </c>
      <c r="I12" s="4"/>
      <c r="J12" s="89"/>
      <c r="K12" s="139" t="s">
        <v>220</v>
      </c>
      <c r="L12" s="89"/>
    </row>
    <row r="13" spans="1:12" ht="15">
      <c r="A13" s="116" t="s">
        <v>144</v>
      </c>
      <c r="B13" s="107">
        <v>25.6</v>
      </c>
      <c r="C13" s="107"/>
      <c r="D13" s="117"/>
      <c r="E13" s="136">
        <v>5.568</v>
      </c>
      <c r="F13" s="107"/>
      <c r="G13" s="107" t="s">
        <v>142</v>
      </c>
      <c r="H13" s="136" t="s">
        <v>136</v>
      </c>
      <c r="I13" s="137" t="s">
        <v>151</v>
      </c>
      <c r="J13" s="89"/>
      <c r="K13" s="139" t="s">
        <v>221</v>
      </c>
      <c r="L13" s="89"/>
    </row>
    <row r="14" spans="1:12" ht="15">
      <c r="A14" s="99" t="s">
        <v>143</v>
      </c>
      <c r="B14" s="111"/>
      <c r="C14" s="111"/>
      <c r="D14" s="112"/>
      <c r="E14" s="111"/>
      <c r="F14" s="111"/>
      <c r="G14" s="111"/>
      <c r="H14" s="119"/>
      <c r="I14" s="137" t="s">
        <v>152</v>
      </c>
      <c r="J14" s="89"/>
      <c r="K14" s="139" t="s">
        <v>226</v>
      </c>
      <c r="L14" s="89"/>
    </row>
    <row r="15" spans="1:12" ht="15">
      <c r="A15" s="98" t="s">
        <v>102</v>
      </c>
      <c r="B15" s="151">
        <f>B13*0.3</f>
        <v>7.68</v>
      </c>
      <c r="C15" s="151">
        <v>6.8</v>
      </c>
      <c r="D15" s="150">
        <v>0.865</v>
      </c>
      <c r="E15" s="150">
        <f>$E$13*0.3</f>
        <v>1.6703999999999999</v>
      </c>
      <c r="F15" s="119">
        <v>1.672</v>
      </c>
      <c r="G15" s="111">
        <v>72</v>
      </c>
      <c r="H15" s="119">
        <v>13.2</v>
      </c>
      <c r="I15" s="137" t="s">
        <v>218</v>
      </c>
      <c r="J15" s="89"/>
      <c r="K15" s="139" t="s">
        <v>227</v>
      </c>
      <c r="L15" s="89"/>
    </row>
    <row r="16" spans="1:12" ht="15">
      <c r="A16" s="98" t="s">
        <v>103</v>
      </c>
      <c r="B16" s="151">
        <f>B13*0.3</f>
        <v>7.68</v>
      </c>
      <c r="C16" s="119">
        <v>6.08</v>
      </c>
      <c r="D16" s="119">
        <v>1.587</v>
      </c>
      <c r="E16" s="150">
        <f>$E$13*0.3</f>
        <v>1.6703999999999999</v>
      </c>
      <c r="F16" s="119">
        <v>1.672</v>
      </c>
      <c r="G16" s="111">
        <v>100</v>
      </c>
      <c r="H16" s="119">
        <v>13.2</v>
      </c>
      <c r="I16" s="137" t="s">
        <v>217</v>
      </c>
      <c r="J16" s="89"/>
      <c r="K16" s="127"/>
      <c r="L16" s="89"/>
    </row>
    <row r="17" spans="1:12" ht="15">
      <c r="A17" s="95" t="s">
        <v>131</v>
      </c>
      <c r="B17" s="113"/>
      <c r="C17" s="113"/>
      <c r="D17" s="113"/>
      <c r="E17" s="113"/>
      <c r="F17" s="102"/>
      <c r="G17" s="113"/>
      <c r="H17" s="118"/>
      <c r="I17" s="12"/>
      <c r="J17" s="89"/>
      <c r="K17" s="139" t="s">
        <v>222</v>
      </c>
      <c r="L17" s="89"/>
    </row>
    <row r="18" spans="1:12" ht="15">
      <c r="A18" s="94" t="s">
        <v>104</v>
      </c>
      <c r="B18" s="118">
        <f aca="true" t="shared" si="0" ref="B18:B23">$B$13*0.7</f>
        <v>17.919999999999998</v>
      </c>
      <c r="C18" s="118">
        <v>15.88</v>
      </c>
      <c r="D18" s="118">
        <v>2.019</v>
      </c>
      <c r="E18" s="153">
        <f aca="true" t="shared" si="1" ref="E18:E23">$E$13*0.7</f>
        <v>3.8975999999999993</v>
      </c>
      <c r="F18" s="153">
        <v>3.9</v>
      </c>
      <c r="G18" s="102">
        <v>16</v>
      </c>
      <c r="H18" s="118">
        <v>13.2</v>
      </c>
      <c r="I18" s="12"/>
      <c r="J18" s="126"/>
      <c r="K18" s="139" t="s">
        <v>225</v>
      </c>
      <c r="L18" s="89"/>
    </row>
    <row r="19" spans="1:12" ht="15">
      <c r="A19" s="94" t="s">
        <v>105</v>
      </c>
      <c r="B19" s="118">
        <f t="shared" si="0"/>
        <v>17.919999999999998</v>
      </c>
      <c r="C19" s="152">
        <v>15.1</v>
      </c>
      <c r="D19" s="118">
        <v>2.796</v>
      </c>
      <c r="E19" s="153">
        <f t="shared" si="1"/>
        <v>3.8975999999999993</v>
      </c>
      <c r="F19" s="153">
        <v>3.9</v>
      </c>
      <c r="G19" s="102">
        <v>16</v>
      </c>
      <c r="H19" s="118">
        <v>13.2</v>
      </c>
      <c r="I19" s="137" t="s">
        <v>69</v>
      </c>
      <c r="J19" s="126"/>
      <c r="K19" s="139" t="s">
        <v>228</v>
      </c>
      <c r="L19" s="89"/>
    </row>
    <row r="20" spans="1:12" ht="15">
      <c r="A20" s="94" t="s">
        <v>132</v>
      </c>
      <c r="B20" s="118">
        <f t="shared" si="0"/>
        <v>17.919999999999998</v>
      </c>
      <c r="C20" s="118">
        <v>15.21</v>
      </c>
      <c r="D20" s="118">
        <v>2.866</v>
      </c>
      <c r="E20" s="153">
        <f t="shared" si="1"/>
        <v>3.8975999999999993</v>
      </c>
      <c r="F20" s="153">
        <v>4.062</v>
      </c>
      <c r="G20" s="102">
        <v>16</v>
      </c>
      <c r="H20" s="118">
        <v>13.2</v>
      </c>
      <c r="I20" s="138" t="s">
        <v>223</v>
      </c>
      <c r="J20" s="138"/>
      <c r="K20" s="127"/>
      <c r="L20" s="89"/>
    </row>
    <row r="21" spans="1:12" ht="15">
      <c r="A21" s="94" t="s">
        <v>133</v>
      </c>
      <c r="B21" s="118">
        <f t="shared" si="0"/>
        <v>17.919999999999998</v>
      </c>
      <c r="C21" s="118">
        <v>14.95</v>
      </c>
      <c r="D21" s="118">
        <v>3.126</v>
      </c>
      <c r="E21" s="153">
        <f t="shared" si="1"/>
        <v>3.8975999999999993</v>
      </c>
      <c r="F21" s="153">
        <v>4.062</v>
      </c>
      <c r="G21" s="102">
        <v>16</v>
      </c>
      <c r="H21" s="118">
        <v>13.2</v>
      </c>
      <c r="I21" s="138" t="s">
        <v>224</v>
      </c>
      <c r="J21" s="138"/>
      <c r="K21" s="127"/>
      <c r="L21" s="89"/>
    </row>
    <row r="22" spans="1:12" ht="15">
      <c r="A22" s="94" t="s">
        <v>134</v>
      </c>
      <c r="B22" s="118">
        <f t="shared" si="0"/>
        <v>17.919999999999998</v>
      </c>
      <c r="C22" s="118">
        <v>14.17</v>
      </c>
      <c r="D22" s="153">
        <v>3.761</v>
      </c>
      <c r="E22" s="153">
        <f t="shared" si="1"/>
        <v>3.8975999999999993</v>
      </c>
      <c r="F22" s="153">
        <v>4.316</v>
      </c>
      <c r="G22" s="102">
        <v>16</v>
      </c>
      <c r="H22" s="118">
        <v>13.2</v>
      </c>
      <c r="I22" s="138" t="s">
        <v>278</v>
      </c>
      <c r="J22" s="126"/>
      <c r="K22" s="126"/>
      <c r="L22" s="89"/>
    </row>
    <row r="23" spans="1:12" ht="15">
      <c r="A23" s="94" t="s">
        <v>135</v>
      </c>
      <c r="B23" s="118">
        <f t="shared" si="0"/>
        <v>17.919999999999998</v>
      </c>
      <c r="C23" s="118">
        <v>15.66</v>
      </c>
      <c r="D23" s="118">
        <v>2.406</v>
      </c>
      <c r="E23" s="153">
        <f t="shared" si="1"/>
        <v>3.8975999999999993</v>
      </c>
      <c r="F23" s="153">
        <v>3.923</v>
      </c>
      <c r="G23" s="102">
        <v>16</v>
      </c>
      <c r="H23" s="118">
        <v>13.2</v>
      </c>
      <c r="I23" s="138"/>
      <c r="J23" s="126"/>
      <c r="K23" s="89"/>
      <c r="L23" s="89"/>
    </row>
    <row r="24" spans="1:8" ht="15">
      <c r="A24" s="120"/>
      <c r="B24" s="98"/>
      <c r="C24" s="98"/>
      <c r="D24" s="98"/>
      <c r="E24" s="98"/>
      <c r="F24" s="98"/>
      <c r="G24" s="98"/>
      <c r="H24" s="98"/>
    </row>
    <row r="25" spans="1:14" ht="18.75">
      <c r="A25" s="96" t="s">
        <v>279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44" t="s">
        <v>92</v>
      </c>
    </row>
    <row r="26" spans="1:14" ht="15">
      <c r="A26" s="13"/>
      <c r="B26" s="44" t="s">
        <v>272</v>
      </c>
      <c r="C26" s="44" t="s">
        <v>125</v>
      </c>
      <c r="D26" s="44" t="s">
        <v>139</v>
      </c>
      <c r="E26" s="44" t="s">
        <v>119</v>
      </c>
      <c r="F26" s="44" t="s">
        <v>114</v>
      </c>
      <c r="G26" s="44" t="s">
        <v>106</v>
      </c>
      <c r="H26" s="44" t="s">
        <v>107</v>
      </c>
      <c r="I26" s="44" t="s">
        <v>108</v>
      </c>
      <c r="J26" s="44" t="s">
        <v>109</v>
      </c>
      <c r="K26" s="44" t="s">
        <v>110</v>
      </c>
      <c r="L26" s="44" t="s">
        <v>115</v>
      </c>
      <c r="M26" s="44" t="s">
        <v>116</v>
      </c>
      <c r="N26" s="44">
        <v>2010</v>
      </c>
    </row>
    <row r="27" spans="1:14" ht="15">
      <c r="A27" s="42" t="s">
        <v>121</v>
      </c>
      <c r="B27" s="44" t="s">
        <v>124</v>
      </c>
      <c r="C27" s="44" t="s">
        <v>124</v>
      </c>
      <c r="D27" s="44" t="s">
        <v>126</v>
      </c>
      <c r="E27" s="44"/>
      <c r="F27" s="44"/>
      <c r="G27" s="44" t="s">
        <v>120</v>
      </c>
      <c r="H27" s="44" t="s">
        <v>120</v>
      </c>
      <c r="I27" s="44" t="s">
        <v>120</v>
      </c>
      <c r="J27" s="44" t="s">
        <v>120</v>
      </c>
      <c r="K27" s="44" t="s">
        <v>120</v>
      </c>
      <c r="L27" s="44"/>
      <c r="M27" s="44"/>
      <c r="N27" s="44" t="s">
        <v>209</v>
      </c>
    </row>
    <row r="28" spans="1:14" ht="15">
      <c r="A28" s="13" t="s">
        <v>102</v>
      </c>
      <c r="B28" s="106">
        <v>7.2</v>
      </c>
      <c r="C28" s="106">
        <v>32</v>
      </c>
      <c r="D28" s="6">
        <v>2000</v>
      </c>
      <c r="E28" s="6">
        <v>55</v>
      </c>
      <c r="F28" s="52">
        <f>D28/365.25*E28</f>
        <v>301.1635865845311</v>
      </c>
      <c r="G28" s="154">
        <f>((C28-B28)*(13.77+0.1733*(C28+B28)))*D28/1000</f>
        <v>1019.942656</v>
      </c>
      <c r="H28" s="154">
        <f>$G$28/0.51*$C$7</f>
        <v>959.9460291764706</v>
      </c>
      <c r="I28" s="154">
        <f>$G$28/0.51*$D$7</f>
        <v>75.99572730980393</v>
      </c>
      <c r="J28" s="154">
        <f>(C28-B28)*(4.405+0.0275*(C28+B28))*D28/1000</f>
        <v>271.95680000000004</v>
      </c>
      <c r="K28" s="154">
        <f>J28*$F$7/$E$7</f>
        <v>273.95648235294124</v>
      </c>
      <c r="L28" s="52">
        <f>$F$28*($C$28+$B$28)/2*$G$7/1000</f>
        <v>2243.066392881588</v>
      </c>
      <c r="M28" s="52">
        <f>$F$28*($C$28+$B$28)/2*$H$7/1000</f>
        <v>1239.5893223819303</v>
      </c>
      <c r="N28" s="52">
        <f>(C28-B28)*D28/4940</f>
        <v>10.040485829959515</v>
      </c>
    </row>
    <row r="29" spans="1:14" ht="15">
      <c r="A29" s="13" t="s">
        <v>103</v>
      </c>
      <c r="B29" s="106">
        <v>7.2</v>
      </c>
      <c r="C29" s="106">
        <v>32</v>
      </c>
      <c r="D29" s="6">
        <v>1000</v>
      </c>
      <c r="E29" s="6">
        <v>55</v>
      </c>
      <c r="F29" s="52">
        <f>D29/365.25*E29</f>
        <v>150.58179329226556</v>
      </c>
      <c r="G29" s="154">
        <f>((C29-B29)*(13.77+0.1733*(C29+B29)))*D29/1000</f>
        <v>509.971328</v>
      </c>
      <c r="H29" s="154">
        <f>$G$29/0.51*$C$8</f>
        <v>439.975263372549</v>
      </c>
      <c r="I29" s="154">
        <f>$G$29/0.51*$D$8</f>
        <v>71.19599716392158</v>
      </c>
      <c r="J29" s="154">
        <f>(C29-B29)*(4.405+0.0275*(C29+B29))*D29/1000</f>
        <v>135.97840000000002</v>
      </c>
      <c r="K29" s="154">
        <f>J29*$F$8/$E$8</f>
        <v>135.97840000000002</v>
      </c>
      <c r="L29" s="52">
        <f>$F$29*($C$29+$B$29)/2*$G$8/1000</f>
        <v>1121.533196440794</v>
      </c>
      <c r="M29" s="52">
        <f>$F$29*($C$29+$B$29)/2*$H$8/1000</f>
        <v>619.7946611909651</v>
      </c>
      <c r="N29" s="52">
        <f>(C29-B29)*D29/4940</f>
        <v>5.020242914979757</v>
      </c>
    </row>
    <row r="30" spans="1:14" ht="15">
      <c r="A30" s="131" t="s">
        <v>140</v>
      </c>
      <c r="B30" s="55"/>
      <c r="C30" s="55"/>
      <c r="D30" s="55">
        <f>D28+D29</f>
        <v>3000</v>
      </c>
      <c r="E30" s="55"/>
      <c r="F30" s="103">
        <f aca="true" t="shared" si="2" ref="F30:N30">F28+F29</f>
        <v>451.7453798767967</v>
      </c>
      <c r="G30" s="103">
        <f t="shared" si="2"/>
        <v>1529.913984</v>
      </c>
      <c r="H30" s="103">
        <f t="shared" si="2"/>
        <v>1399.9212925490197</v>
      </c>
      <c r="I30" s="103">
        <f t="shared" si="2"/>
        <v>147.19172447372551</v>
      </c>
      <c r="J30" s="103">
        <f t="shared" si="2"/>
        <v>407.93520000000007</v>
      </c>
      <c r="K30" s="103">
        <f t="shared" si="2"/>
        <v>409.93488235294126</v>
      </c>
      <c r="L30" s="103">
        <f t="shared" si="2"/>
        <v>3364.5995893223817</v>
      </c>
      <c r="M30" s="103">
        <f t="shared" si="2"/>
        <v>1859.3839835728954</v>
      </c>
      <c r="N30" s="103">
        <f t="shared" si="2"/>
        <v>15.060728744939272</v>
      </c>
    </row>
    <row r="31" spans="1:14" ht="15">
      <c r="A31" s="42" t="s">
        <v>122</v>
      </c>
      <c r="B31" s="13"/>
      <c r="C31" s="13"/>
      <c r="D31" s="13"/>
      <c r="E31" s="13"/>
      <c r="F31" s="97"/>
      <c r="G31" s="13"/>
      <c r="H31" s="13"/>
      <c r="I31" s="13"/>
      <c r="J31" s="13"/>
      <c r="K31" s="13"/>
      <c r="L31" s="13"/>
      <c r="M31" s="13"/>
      <c r="N31" s="44"/>
    </row>
    <row r="32" spans="1:14" ht="15">
      <c r="A32" s="13" t="s">
        <v>100</v>
      </c>
      <c r="B32" s="106">
        <v>32</v>
      </c>
      <c r="C32" s="106">
        <v>107</v>
      </c>
      <c r="D32" s="6">
        <v>1000</v>
      </c>
      <c r="E32" s="6">
        <v>83</v>
      </c>
      <c r="F32" s="52">
        <f>D32/365.25*E32</f>
        <v>227.2416153319644</v>
      </c>
      <c r="G32" s="154">
        <f>((C32-B32)*(13.77+0.1733*(C32+B32)))*D32/1000</f>
        <v>2839.4025</v>
      </c>
      <c r="H32" s="154">
        <f>$G$32/2.839*$C$10</f>
        <v>2570.3643624515676</v>
      </c>
      <c r="I32" s="154">
        <f>$G$32/2.839*$D$10</f>
        <v>285.3404484853822</v>
      </c>
      <c r="J32" s="154">
        <f>(C32-B32)*(4.405+0.0275*(C32+B32))*D32/1000</f>
        <v>617.0625000000001</v>
      </c>
      <c r="K32" s="154">
        <f>J32*$F$10/$E$10</f>
        <v>619.062702593193</v>
      </c>
      <c r="L32" s="52">
        <f>F32*(C32+B32)/2*$G$10/1000</f>
        <v>4737.987679671457</v>
      </c>
      <c r="M32" s="52">
        <f>F32*(C32+B32)/2*$H$10/1000</f>
        <v>2368.9938398357285</v>
      </c>
      <c r="N32" s="52">
        <f>D32*((40-B32)/4940+(87-40)/2910+(C32-87)/2000)</f>
        <v>27.77063594752146</v>
      </c>
    </row>
    <row r="33" spans="1:14" ht="15">
      <c r="A33" s="13" t="s">
        <v>101</v>
      </c>
      <c r="B33" s="106">
        <v>32</v>
      </c>
      <c r="C33" s="106">
        <v>107</v>
      </c>
      <c r="D33" s="6">
        <v>1000</v>
      </c>
      <c r="E33" s="6">
        <v>83</v>
      </c>
      <c r="F33" s="52">
        <f>D33/365.25*E33</f>
        <v>227.2416153319644</v>
      </c>
      <c r="G33" s="154">
        <f>((C33-B33)*(13.77+0.1733*(C33+B33)))*D33/1000</f>
        <v>2839.4025</v>
      </c>
      <c r="H33" s="154">
        <f>$G$33/2.839*$C$11</f>
        <v>2490.353020429729</v>
      </c>
      <c r="I33" s="154">
        <f>$G$33/2.839*$D$11</f>
        <v>358.65084061289184</v>
      </c>
      <c r="J33" s="154">
        <f>(C33-B33)*(4.405+0.0275*(C33+B33))*D33/1000</f>
        <v>617.0625000000001</v>
      </c>
      <c r="K33" s="154">
        <f>J33*F11/$E$11</f>
        <v>619.062702593193</v>
      </c>
      <c r="L33" s="52">
        <f>F33*(C33+B33)/2*$G$11/1000</f>
        <v>4737.987679671457</v>
      </c>
      <c r="M33" s="52">
        <f>F33*(C33+B33)/2*$H$11/1000</f>
        <v>2368.9938398357285</v>
      </c>
      <c r="N33" s="52">
        <f>D33*((40-B33)/4940+(87-40)/2910+(C33-87)/2000)</f>
        <v>27.77063594752146</v>
      </c>
    </row>
    <row r="34" spans="1:14" ht="15">
      <c r="A34" s="13" t="s">
        <v>103</v>
      </c>
      <c r="B34" s="106">
        <v>32</v>
      </c>
      <c r="C34" s="106">
        <v>107</v>
      </c>
      <c r="D34" s="6">
        <v>1000</v>
      </c>
      <c r="E34" s="6">
        <v>83</v>
      </c>
      <c r="F34" s="52">
        <f>D34/365.25*E34</f>
        <v>227.2416153319644</v>
      </c>
      <c r="G34" s="154">
        <f>((C34-B34)*(13.77+0.1733*(C34+B34)))*D34/1000</f>
        <v>2839.4025</v>
      </c>
      <c r="H34" s="154">
        <f>$G$34/2.839*$C$12</f>
        <v>2410.3416784078904</v>
      </c>
      <c r="I34" s="154">
        <f>$G$34/2.839*$D$12</f>
        <v>431.9612327404016</v>
      </c>
      <c r="J34" s="154">
        <f>(C34-B34)*(4.405+0.0275*(C34+B34))*D34/1000</f>
        <v>617.0625000000001</v>
      </c>
      <c r="K34" s="154">
        <f>J34*$F$12/$E$12</f>
        <v>617.0625000000001</v>
      </c>
      <c r="L34" s="52">
        <f>F34*(C34+B34)/2*$G$12/1000</f>
        <v>7106.981519507187</v>
      </c>
      <c r="M34" s="52">
        <f>F34*(C34+B34)/2*$H$12/1000</f>
        <v>2368.9938398357285</v>
      </c>
      <c r="N34" s="52">
        <f>D34*((40-B34)/4940+(87-40)/2910+(C34-87)/2000)</f>
        <v>27.77063594752146</v>
      </c>
    </row>
    <row r="35" spans="1:14" ht="15">
      <c r="A35" s="131" t="s">
        <v>123</v>
      </c>
      <c r="B35" s="55"/>
      <c r="C35" s="55"/>
      <c r="D35" s="55">
        <f>SUM(D32:D34)</f>
        <v>3000</v>
      </c>
      <c r="E35" s="55"/>
      <c r="F35" s="103">
        <f aca="true" t="shared" si="3" ref="F35:N35">SUM(F32:F34)</f>
        <v>681.7248459958932</v>
      </c>
      <c r="G35" s="103">
        <f t="shared" si="3"/>
        <v>8518.2075</v>
      </c>
      <c r="H35" s="103">
        <f t="shared" si="3"/>
        <v>7471.0590612891865</v>
      </c>
      <c r="I35" s="103">
        <f t="shared" si="3"/>
        <v>1075.9525218386757</v>
      </c>
      <c r="J35" s="103">
        <f t="shared" si="3"/>
        <v>1851.1875000000005</v>
      </c>
      <c r="K35" s="103">
        <f t="shared" si="3"/>
        <v>1855.1879051863862</v>
      </c>
      <c r="L35" s="103">
        <f t="shared" si="3"/>
        <v>16582.956878850102</v>
      </c>
      <c r="M35" s="103">
        <f t="shared" si="3"/>
        <v>7106.981519507186</v>
      </c>
      <c r="N35" s="103">
        <f t="shared" si="3"/>
        <v>83.31190784256438</v>
      </c>
    </row>
    <row r="36" spans="1:14" ht="15">
      <c r="A36" s="42" t="s">
        <v>207</v>
      </c>
      <c r="B36" s="6">
        <v>100</v>
      </c>
      <c r="C36" s="124" t="s">
        <v>158</v>
      </c>
      <c r="D36" s="44"/>
      <c r="E36" s="6">
        <v>22.5</v>
      </c>
      <c r="F36" s="124" t="s">
        <v>205</v>
      </c>
      <c r="G36" s="44"/>
      <c r="H36" s="44"/>
      <c r="I36" s="44">
        <f>100-E36</f>
        <v>77.5</v>
      </c>
      <c r="J36" s="44"/>
      <c r="K36" s="44"/>
      <c r="L36" s="44"/>
      <c r="M36" s="44"/>
      <c r="N36" s="52">
        <f>B36/4.3</f>
        <v>23.255813953488374</v>
      </c>
    </row>
    <row r="37" spans="1:14" ht="15">
      <c r="A37" s="42" t="s">
        <v>143</v>
      </c>
      <c r="B37" s="124"/>
      <c r="C37" s="44"/>
      <c r="D37" s="44" t="s">
        <v>159</v>
      </c>
      <c r="E37" s="44"/>
      <c r="F37" s="44" t="s">
        <v>160</v>
      </c>
      <c r="G37" s="13"/>
      <c r="H37" s="13"/>
      <c r="I37" s="13"/>
      <c r="J37" s="13"/>
      <c r="K37" s="13"/>
      <c r="L37" s="13"/>
      <c r="M37" s="13"/>
      <c r="N37" s="13"/>
    </row>
    <row r="38" spans="1:14" ht="15">
      <c r="A38" s="13" t="s">
        <v>156</v>
      </c>
      <c r="B38" s="13"/>
      <c r="C38" s="13"/>
      <c r="D38" s="6">
        <v>50</v>
      </c>
      <c r="E38" s="44"/>
      <c r="F38" s="71">
        <f>$B$36*$E$36/100*D38/100</f>
        <v>11.25</v>
      </c>
      <c r="G38" s="52">
        <f>$B$36*$D$38/100*B15</f>
        <v>384</v>
      </c>
      <c r="H38" s="52">
        <f>$B$36*$D$38/100*C15</f>
        <v>340</v>
      </c>
      <c r="I38" s="52">
        <f>$B$36*$D$38/100*D15</f>
        <v>43.25</v>
      </c>
      <c r="J38" s="52">
        <f>$B$36*$D$38/100*E15</f>
        <v>83.52</v>
      </c>
      <c r="K38" s="52">
        <f>$B$36*$D$38/100*F15</f>
        <v>83.6</v>
      </c>
      <c r="L38" s="52">
        <f>$F38*G15</f>
        <v>810</v>
      </c>
      <c r="M38" s="52">
        <f>$F38*H15</f>
        <v>148.5</v>
      </c>
      <c r="N38" s="13"/>
    </row>
    <row r="39" spans="1:14" ht="15">
      <c r="A39" s="13" t="s">
        <v>157</v>
      </c>
      <c r="B39" s="13"/>
      <c r="C39" s="13"/>
      <c r="D39" s="6">
        <v>50</v>
      </c>
      <c r="E39" s="44"/>
      <c r="F39" s="71">
        <f>$B$36*$E$36/100*D39/100</f>
        <v>11.25</v>
      </c>
      <c r="G39" s="52">
        <f>$B$36*$D$39/100*B16</f>
        <v>384</v>
      </c>
      <c r="H39" s="52">
        <f>$B$36*$D$39/100*C16</f>
        <v>304</v>
      </c>
      <c r="I39" s="52">
        <f>$B$36*$D$39/100*D16</f>
        <v>79.35</v>
      </c>
      <c r="J39" s="52">
        <f>$B$36*$D$39/100*E16</f>
        <v>83.52</v>
      </c>
      <c r="K39" s="52">
        <f>$B$36*$D$39/100*F16</f>
        <v>83.6</v>
      </c>
      <c r="L39" s="52">
        <f>$F39*G16</f>
        <v>1125</v>
      </c>
      <c r="M39" s="52">
        <f>$F39*H16</f>
        <v>148.5</v>
      </c>
      <c r="N39" s="13"/>
    </row>
    <row r="40" spans="1:14" ht="15">
      <c r="A40" s="13" t="s">
        <v>163</v>
      </c>
      <c r="B40" s="54"/>
      <c r="C40" s="54"/>
      <c r="D40" s="55">
        <f>D38+D39</f>
        <v>100</v>
      </c>
      <c r="E40" s="55"/>
      <c r="F40" s="55">
        <f>F38+F39</f>
        <v>22.5</v>
      </c>
      <c r="G40" s="103">
        <f aca="true" t="shared" si="4" ref="G40:M40">G38+G39</f>
        <v>768</v>
      </c>
      <c r="H40" s="103">
        <f t="shared" si="4"/>
        <v>644</v>
      </c>
      <c r="I40" s="103">
        <f t="shared" si="4"/>
        <v>122.6</v>
      </c>
      <c r="J40" s="103">
        <f t="shared" si="4"/>
        <v>167.04</v>
      </c>
      <c r="K40" s="103">
        <f t="shared" si="4"/>
        <v>167.2</v>
      </c>
      <c r="L40" s="103">
        <f t="shared" si="4"/>
        <v>1935</v>
      </c>
      <c r="M40" s="103">
        <f t="shared" si="4"/>
        <v>297</v>
      </c>
      <c r="N40" s="13"/>
    </row>
    <row r="41" spans="1:14" ht="15">
      <c r="A41" s="42" t="s">
        <v>118</v>
      </c>
      <c r="B41" s="124"/>
      <c r="C41" s="44"/>
      <c r="D41" s="44" t="s">
        <v>161</v>
      </c>
      <c r="E41" s="44"/>
      <c r="F41" s="44"/>
      <c r="G41" s="44"/>
      <c r="H41" s="44"/>
      <c r="I41" s="44"/>
      <c r="J41" s="44"/>
      <c r="K41" s="44"/>
      <c r="L41" s="44"/>
      <c r="M41" s="44"/>
      <c r="N41" s="13"/>
    </row>
    <row r="42" spans="1:14" ht="15">
      <c r="A42" s="13" t="s">
        <v>213</v>
      </c>
      <c r="B42" s="13"/>
      <c r="C42" s="13"/>
      <c r="D42" s="6">
        <v>10</v>
      </c>
      <c r="E42" s="13"/>
      <c r="F42" s="71">
        <f aca="true" t="shared" si="5" ref="F42:F47">$B$36*$I$36/100*D42/100</f>
        <v>7.75</v>
      </c>
      <c r="G42" s="52">
        <f>$B$36*$D$42/100*B18</f>
        <v>179.2</v>
      </c>
      <c r="H42" s="52">
        <f>$B$36*$D$42/100*C18</f>
        <v>158.8</v>
      </c>
      <c r="I42" s="52">
        <f>$B$36*$D$42/100*D18</f>
        <v>20.19</v>
      </c>
      <c r="J42" s="52">
        <f>$B$36*$D$42/100*E18</f>
        <v>38.97599999999999</v>
      </c>
      <c r="K42" s="52">
        <f>$B$36*$D$42/100*F18</f>
        <v>39</v>
      </c>
      <c r="L42" s="52">
        <f aca="true" t="shared" si="6" ref="L42:L47">F42*G18</f>
        <v>124</v>
      </c>
      <c r="M42" s="52">
        <f aca="true" t="shared" si="7" ref="M42:M47">F42*H18</f>
        <v>102.3</v>
      </c>
      <c r="N42" s="13"/>
    </row>
    <row r="43" spans="1:14" ht="15">
      <c r="A43" s="13" t="s">
        <v>212</v>
      </c>
      <c r="B43" s="13"/>
      <c r="C43" s="13"/>
      <c r="D43" s="6">
        <v>10</v>
      </c>
      <c r="E43" s="13"/>
      <c r="F43" s="71">
        <f t="shared" si="5"/>
        <v>7.75</v>
      </c>
      <c r="G43" s="52">
        <f>$B$36*$D$43/100*B19</f>
        <v>179.2</v>
      </c>
      <c r="H43" s="52">
        <f>$B$36*$D$43/100*C19</f>
        <v>151</v>
      </c>
      <c r="I43" s="52">
        <f>$B$36*$D$43/100*D19</f>
        <v>27.959999999999997</v>
      </c>
      <c r="J43" s="52">
        <f>$B$36*$D$43/100*E19</f>
        <v>38.97599999999999</v>
      </c>
      <c r="K43" s="52">
        <f>$B$36*$D$43/100*F19</f>
        <v>39</v>
      </c>
      <c r="L43" s="52">
        <f t="shared" si="6"/>
        <v>124</v>
      </c>
      <c r="M43" s="52">
        <f t="shared" si="7"/>
        <v>102.3</v>
      </c>
      <c r="N43" s="13"/>
    </row>
    <row r="44" spans="1:14" ht="15">
      <c r="A44" s="13" t="s">
        <v>214</v>
      </c>
      <c r="B44" s="13"/>
      <c r="C44" s="13"/>
      <c r="D44" s="6">
        <v>10</v>
      </c>
      <c r="E44" s="13"/>
      <c r="F44" s="71">
        <f t="shared" si="5"/>
        <v>7.75</v>
      </c>
      <c r="G44" s="52">
        <f>$B$36*$D$44/100*B20</f>
        <v>179.2</v>
      </c>
      <c r="H44" s="52">
        <f>$B$36*$D$44/100*C20</f>
        <v>152.10000000000002</v>
      </c>
      <c r="I44" s="52">
        <f>$B$36*$D$44/100*D20</f>
        <v>28.66</v>
      </c>
      <c r="J44" s="52">
        <f>$B$36*$D$44/100*E20</f>
        <v>38.97599999999999</v>
      </c>
      <c r="K44" s="52">
        <f>$B$36*$D$44/100*F20</f>
        <v>40.620000000000005</v>
      </c>
      <c r="L44" s="52">
        <f t="shared" si="6"/>
        <v>124</v>
      </c>
      <c r="M44" s="52">
        <f t="shared" si="7"/>
        <v>102.3</v>
      </c>
      <c r="N44" s="13"/>
    </row>
    <row r="45" spans="1:14" ht="15">
      <c r="A45" s="13" t="s">
        <v>215</v>
      </c>
      <c r="B45" s="13"/>
      <c r="C45" s="13"/>
      <c r="D45" s="6">
        <v>10</v>
      </c>
      <c r="E45" s="13"/>
      <c r="F45" s="71">
        <f t="shared" si="5"/>
        <v>7.75</v>
      </c>
      <c r="G45" s="52">
        <f>$B$36*$D$45/100*B21</f>
        <v>179.2</v>
      </c>
      <c r="H45" s="52">
        <f>$B$36*$D$45/100*C21</f>
        <v>149.5</v>
      </c>
      <c r="I45" s="52">
        <f>$B$36*$D$45/100*D21</f>
        <v>31.259999999999998</v>
      </c>
      <c r="J45" s="52">
        <f>$B$36*$D$45/100*E21</f>
        <v>38.97599999999999</v>
      </c>
      <c r="K45" s="52">
        <f>$B$36*$D$45/100*F21</f>
        <v>40.620000000000005</v>
      </c>
      <c r="L45" s="52">
        <f t="shared" si="6"/>
        <v>124</v>
      </c>
      <c r="M45" s="52">
        <f t="shared" si="7"/>
        <v>102.3</v>
      </c>
      <c r="N45" s="13"/>
    </row>
    <row r="46" spans="1:14" ht="15">
      <c r="A46" s="13" t="s">
        <v>134</v>
      </c>
      <c r="B46" s="13"/>
      <c r="C46" s="13"/>
      <c r="D46" s="6">
        <v>10</v>
      </c>
      <c r="E46" s="13"/>
      <c r="F46" s="71">
        <f t="shared" si="5"/>
        <v>7.75</v>
      </c>
      <c r="G46" s="52">
        <f>$B$36*$D$46/100*B22</f>
        <v>179.2</v>
      </c>
      <c r="H46" s="52">
        <f>$B$36*$D$46/100*C22</f>
        <v>141.7</v>
      </c>
      <c r="I46" s="52">
        <f>$B$36*$D$46/100*D22</f>
        <v>37.61</v>
      </c>
      <c r="J46" s="52">
        <f>$B$36*$D$46/100*E22</f>
        <v>38.97599999999999</v>
      </c>
      <c r="K46" s="52">
        <f>$B$36*$D$46/100*F22</f>
        <v>43.16</v>
      </c>
      <c r="L46" s="52">
        <f t="shared" si="6"/>
        <v>124</v>
      </c>
      <c r="M46" s="52">
        <f t="shared" si="7"/>
        <v>102.3</v>
      </c>
      <c r="N46" s="13"/>
    </row>
    <row r="47" spans="1:14" ht="15">
      <c r="A47" s="13" t="s">
        <v>216</v>
      </c>
      <c r="B47" s="13"/>
      <c r="C47" s="13"/>
      <c r="D47" s="6">
        <v>50</v>
      </c>
      <c r="E47" s="13"/>
      <c r="F47" s="71">
        <f t="shared" si="5"/>
        <v>38.75</v>
      </c>
      <c r="G47" s="52">
        <f>$B$36*$D$47/100*B23</f>
        <v>895.9999999999999</v>
      </c>
      <c r="H47" s="52">
        <f>$B$36*$D$47/100*C23</f>
        <v>783</v>
      </c>
      <c r="I47" s="52">
        <f>$B$36*$D$47/100*D23</f>
        <v>120.30000000000001</v>
      </c>
      <c r="J47" s="52">
        <f>$B$36*$D$47/100*E23</f>
        <v>194.87999999999997</v>
      </c>
      <c r="K47" s="52">
        <f>$B$36*$D$47/100*F23</f>
        <v>196.15</v>
      </c>
      <c r="L47" s="52">
        <f t="shared" si="6"/>
        <v>620</v>
      </c>
      <c r="M47" s="52">
        <f t="shared" si="7"/>
        <v>511.5</v>
      </c>
      <c r="N47" s="13"/>
    </row>
    <row r="48" spans="1:14" ht="15">
      <c r="A48" s="54" t="s">
        <v>165</v>
      </c>
      <c r="B48" s="54"/>
      <c r="C48" s="54"/>
      <c r="D48" s="55">
        <f>D42+D43+D44+D45+D46+D47</f>
        <v>100</v>
      </c>
      <c r="E48" s="55"/>
      <c r="F48" s="55">
        <f aca="true" t="shared" si="8" ref="F48:M48">F42+F43+F44+F45+F46+F47</f>
        <v>77.5</v>
      </c>
      <c r="G48" s="103">
        <f t="shared" si="8"/>
        <v>1792</v>
      </c>
      <c r="H48" s="103">
        <f t="shared" si="8"/>
        <v>1536.1000000000001</v>
      </c>
      <c r="I48" s="103">
        <f t="shared" si="8"/>
        <v>265.98</v>
      </c>
      <c r="J48" s="103">
        <f t="shared" si="8"/>
        <v>389.75999999999993</v>
      </c>
      <c r="K48" s="103">
        <f t="shared" si="8"/>
        <v>398.55</v>
      </c>
      <c r="L48" s="103">
        <f t="shared" si="8"/>
        <v>1240</v>
      </c>
      <c r="M48" s="103">
        <f t="shared" si="8"/>
        <v>1023</v>
      </c>
      <c r="N48" s="54"/>
    </row>
    <row r="49" spans="1:14" ht="15">
      <c r="A49" s="110" t="s">
        <v>117</v>
      </c>
      <c r="B49" s="108"/>
      <c r="C49" s="108"/>
      <c r="D49" s="108"/>
      <c r="E49" s="108" t="s">
        <v>69</v>
      </c>
      <c r="F49" s="109"/>
      <c r="G49" s="104">
        <f aca="true" t="shared" si="9" ref="G49:M49">G30+G35+G40+G48</f>
        <v>12608.121484000001</v>
      </c>
      <c r="H49" s="104">
        <f t="shared" si="9"/>
        <v>11051.080353838206</v>
      </c>
      <c r="I49" s="104">
        <f t="shared" si="9"/>
        <v>1611.7242463124012</v>
      </c>
      <c r="J49" s="104">
        <f t="shared" si="9"/>
        <v>2815.9227</v>
      </c>
      <c r="K49" s="104">
        <f t="shared" si="9"/>
        <v>2830.8727875393274</v>
      </c>
      <c r="L49" s="104">
        <f t="shared" si="9"/>
        <v>23122.556468172483</v>
      </c>
      <c r="M49" s="104">
        <f t="shared" si="9"/>
        <v>10286.365503080082</v>
      </c>
      <c r="N49" s="133">
        <f>N30+N35+N36</f>
        <v>121.62845054099202</v>
      </c>
    </row>
    <row r="50" spans="1:14" ht="18.75">
      <c r="A50" s="100" t="s">
        <v>280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30" t="s">
        <v>92</v>
      </c>
    </row>
    <row r="51" spans="1:14" ht="15">
      <c r="A51" s="21"/>
      <c r="B51" s="30" t="s">
        <v>111</v>
      </c>
      <c r="C51" s="30" t="s">
        <v>112</v>
      </c>
      <c r="D51" s="30" t="s">
        <v>113</v>
      </c>
      <c r="E51" s="30" t="s">
        <v>119</v>
      </c>
      <c r="F51" s="30" t="s">
        <v>114</v>
      </c>
      <c r="G51" s="30" t="s">
        <v>106</v>
      </c>
      <c r="H51" s="30" t="s">
        <v>107</v>
      </c>
      <c r="I51" s="30" t="s">
        <v>108</v>
      </c>
      <c r="J51" s="30" t="s">
        <v>109</v>
      </c>
      <c r="K51" s="30" t="s">
        <v>110</v>
      </c>
      <c r="L51" s="30" t="s">
        <v>115</v>
      </c>
      <c r="M51" s="30" t="s">
        <v>116</v>
      </c>
      <c r="N51" s="30">
        <v>2010</v>
      </c>
    </row>
    <row r="52" spans="1:14" ht="15">
      <c r="A52" s="20" t="s">
        <v>121</v>
      </c>
      <c r="B52" s="30"/>
      <c r="C52" s="30"/>
      <c r="D52" s="30"/>
      <c r="E52" s="30"/>
      <c r="F52" s="30"/>
      <c r="G52" s="30" t="s">
        <v>120</v>
      </c>
      <c r="H52" s="30" t="s">
        <v>120</v>
      </c>
      <c r="I52" s="30" t="s">
        <v>120</v>
      </c>
      <c r="J52" s="30" t="s">
        <v>120</v>
      </c>
      <c r="K52" s="30" t="s">
        <v>120</v>
      </c>
      <c r="L52" s="30"/>
      <c r="M52" s="30"/>
      <c r="N52" s="30" t="s">
        <v>209</v>
      </c>
    </row>
    <row r="53" spans="1:14" ht="15">
      <c r="A53" s="21" t="s">
        <v>102</v>
      </c>
      <c r="B53" s="106">
        <v>7.2</v>
      </c>
      <c r="C53" s="106">
        <v>32</v>
      </c>
      <c r="D53" s="6">
        <v>2000</v>
      </c>
      <c r="E53" s="6">
        <v>55</v>
      </c>
      <c r="F53" s="35">
        <f>D53/365.25*E53</f>
        <v>301.1635865845311</v>
      </c>
      <c r="G53" s="155">
        <f>((C53-B53)*(13.77+0.1733*(C53+B53)))*D53/1000</f>
        <v>1019.942656</v>
      </c>
      <c r="H53" s="155">
        <f>$G$53/0.51*$C$7</f>
        <v>959.9460291764706</v>
      </c>
      <c r="I53" s="155">
        <f>$G$53/0.51*$D$7</f>
        <v>75.99572730980393</v>
      </c>
      <c r="J53" s="155">
        <f>(C53-B53)*(4.405+0.0275*(C53+B53))*D53/1000</f>
        <v>271.95680000000004</v>
      </c>
      <c r="K53" s="155">
        <f>J53*$F$7/$E$7</f>
        <v>273.95648235294124</v>
      </c>
      <c r="L53" s="35">
        <f>$F$53*($C$53+$B$53)/2*$G$7/1000</f>
        <v>2243.066392881588</v>
      </c>
      <c r="M53" s="35">
        <f>$F$53*($C$53+$B$53)/2*$H$7/1000</f>
        <v>1239.5893223819303</v>
      </c>
      <c r="N53" s="35">
        <f>(C53-B53)*D53/4940</f>
        <v>10.040485829959515</v>
      </c>
    </row>
    <row r="54" spans="1:14" ht="15">
      <c r="A54" s="21" t="s">
        <v>103</v>
      </c>
      <c r="B54" s="106">
        <v>7.2</v>
      </c>
      <c r="C54" s="106">
        <v>32</v>
      </c>
      <c r="D54" s="6">
        <v>1000</v>
      </c>
      <c r="E54" s="6">
        <v>55</v>
      </c>
      <c r="F54" s="35">
        <f>D54/365.25*E54</f>
        <v>150.58179329226556</v>
      </c>
      <c r="G54" s="155">
        <f>((C54-B54)*(13.77+0.1733*(C54+B54)))*D54/1000</f>
        <v>509.971328</v>
      </c>
      <c r="H54" s="155">
        <f>$G$54/0.51*$C$8</f>
        <v>439.975263372549</v>
      </c>
      <c r="I54" s="155">
        <f>$G$54/0.51*$D$8</f>
        <v>71.19599716392158</v>
      </c>
      <c r="J54" s="155">
        <f>(C54-B54)*(4.405+0.0275*(C54+B54))*D54/1000</f>
        <v>135.97840000000002</v>
      </c>
      <c r="K54" s="155">
        <f>J54*$F$8/$E$8</f>
        <v>135.97840000000002</v>
      </c>
      <c r="L54" s="35">
        <f>$F$54*($C$54+$B$54)/2*$G$8/1000</f>
        <v>1121.533196440794</v>
      </c>
      <c r="M54" s="35">
        <f>$F$54*($C$54+$B$54)/2*$H$8/1000</f>
        <v>619.7946611909651</v>
      </c>
      <c r="N54" s="35">
        <f>(C54-B54)*D54/4940</f>
        <v>5.020242914979757</v>
      </c>
    </row>
    <row r="55" spans="1:14" ht="15">
      <c r="A55" s="132" t="s">
        <v>140</v>
      </c>
      <c r="B55" s="105"/>
      <c r="C55" s="105"/>
      <c r="D55" s="105">
        <f>D53+D54</f>
        <v>3000</v>
      </c>
      <c r="E55" s="105"/>
      <c r="F55" s="101">
        <f aca="true" t="shared" si="10" ref="F55:N55">F53+F54</f>
        <v>451.7453798767967</v>
      </c>
      <c r="G55" s="101">
        <f t="shared" si="10"/>
        <v>1529.913984</v>
      </c>
      <c r="H55" s="101">
        <f t="shared" si="10"/>
        <v>1399.9212925490197</v>
      </c>
      <c r="I55" s="101">
        <f t="shared" si="10"/>
        <v>147.19172447372551</v>
      </c>
      <c r="J55" s="101">
        <f t="shared" si="10"/>
        <v>407.93520000000007</v>
      </c>
      <c r="K55" s="101">
        <f t="shared" si="10"/>
        <v>409.93488235294126</v>
      </c>
      <c r="L55" s="101">
        <f t="shared" si="10"/>
        <v>3364.5995893223817</v>
      </c>
      <c r="M55" s="101">
        <f t="shared" si="10"/>
        <v>1859.3839835728954</v>
      </c>
      <c r="N55" s="101">
        <f t="shared" si="10"/>
        <v>15.060728744939272</v>
      </c>
    </row>
    <row r="56" spans="1:14" ht="15">
      <c r="A56" s="20" t="s">
        <v>122</v>
      </c>
      <c r="B56" s="21"/>
      <c r="C56" s="21"/>
      <c r="D56" s="21"/>
      <c r="E56" s="21"/>
      <c r="F56" s="91"/>
      <c r="G56" s="21"/>
      <c r="H56" s="21"/>
      <c r="I56" s="21"/>
      <c r="J56" s="21"/>
      <c r="K56" s="21"/>
      <c r="L56" s="21"/>
      <c r="M56" s="21"/>
      <c r="N56" s="30"/>
    </row>
    <row r="57" spans="1:14" ht="15">
      <c r="A57" s="21" t="s">
        <v>100</v>
      </c>
      <c r="B57" s="106">
        <v>32</v>
      </c>
      <c r="C57" s="106">
        <v>107</v>
      </c>
      <c r="D57" s="6">
        <v>1000</v>
      </c>
      <c r="E57" s="6">
        <v>83</v>
      </c>
      <c r="F57" s="35">
        <f>D57/365.25*E57</f>
        <v>227.2416153319644</v>
      </c>
      <c r="G57" s="155">
        <f>((C57-B57)*(13.77+0.1733*(C57+B57)))*D57/1000</f>
        <v>2839.4025</v>
      </c>
      <c r="H57" s="155">
        <f>$G$57/2.839*$C$10</f>
        <v>2570.3643624515676</v>
      </c>
      <c r="I57" s="155">
        <f>$G$57/2.839*$D$10</f>
        <v>285.3404484853822</v>
      </c>
      <c r="J57" s="155">
        <f>(C57-B57)*(4.405+0.0275*(C57+B57))*D57/1000</f>
        <v>617.0625000000001</v>
      </c>
      <c r="K57" s="155">
        <f>J57*$F$10/$E$10</f>
        <v>619.062702593193</v>
      </c>
      <c r="L57" s="35">
        <f>F57*(C57+B57)/2*$G$10/1000</f>
        <v>4737.987679671457</v>
      </c>
      <c r="M57" s="35">
        <f>F57*(C57+B57)/2*$H$10/1000</f>
        <v>2368.9938398357285</v>
      </c>
      <c r="N57" s="35">
        <f>D57*((40-B57)/4940+(87-40)/2910+(C57-87)/2000)</f>
        <v>27.77063594752146</v>
      </c>
    </row>
    <row r="58" spans="1:14" ht="15">
      <c r="A58" s="21" t="s">
        <v>101</v>
      </c>
      <c r="B58" s="106">
        <v>32</v>
      </c>
      <c r="C58" s="106">
        <v>107</v>
      </c>
      <c r="D58" s="6">
        <v>1000</v>
      </c>
      <c r="E58" s="6">
        <v>83</v>
      </c>
      <c r="F58" s="35">
        <f>D58/365.25*E58</f>
        <v>227.2416153319644</v>
      </c>
      <c r="G58" s="155">
        <f>((C58-B58)*(13.77+0.1733*(C58+B58)))*D58/1000</f>
        <v>2839.4025</v>
      </c>
      <c r="H58" s="155">
        <f>$G$58/2.839*$C$11</f>
        <v>2490.353020429729</v>
      </c>
      <c r="I58" s="155">
        <f>$G$58/2.839*$D$11</f>
        <v>358.65084061289184</v>
      </c>
      <c r="J58" s="155">
        <f>(C58-B58)*(4.405+0.0275*(C58+B58))*D58/1000</f>
        <v>617.0625000000001</v>
      </c>
      <c r="K58" s="155">
        <f>J58*$F$11/$E$11</f>
        <v>619.062702593193</v>
      </c>
      <c r="L58" s="35">
        <f>F58*(C58+B58)/2*$G$11/1000</f>
        <v>4737.987679671457</v>
      </c>
      <c r="M58" s="35">
        <f>F58*(C58+B58)/2*$H$11/1000</f>
        <v>2368.9938398357285</v>
      </c>
      <c r="N58" s="35">
        <f>D58*((40-B58)/4940+(87-40)/2910+(C58-87)/2000)</f>
        <v>27.77063594752146</v>
      </c>
    </row>
    <row r="59" spans="1:14" ht="15">
      <c r="A59" s="21" t="s">
        <v>103</v>
      </c>
      <c r="B59" s="106">
        <v>32</v>
      </c>
      <c r="C59" s="106">
        <v>107</v>
      </c>
      <c r="D59" s="6">
        <v>1000</v>
      </c>
      <c r="E59" s="6">
        <v>83</v>
      </c>
      <c r="F59" s="35">
        <f>D59/365.25*E59</f>
        <v>227.2416153319644</v>
      </c>
      <c r="G59" s="155">
        <f>((C59-B59)*(13.77+0.1733*(C59+B59)))*D59/1000</f>
        <v>2839.4025</v>
      </c>
      <c r="H59" s="155">
        <f>$G$59/2.839*$C$12</f>
        <v>2410.3416784078904</v>
      </c>
      <c r="I59" s="155">
        <f>$G$59/2.839*$D$12</f>
        <v>431.9612327404016</v>
      </c>
      <c r="J59" s="155">
        <f>(C59-B59)*(4.405+0.0275*(C59+B59))*D59/1000</f>
        <v>617.0625000000001</v>
      </c>
      <c r="K59" s="155">
        <f>J59*$F$12/$E$12</f>
        <v>617.0625000000001</v>
      </c>
      <c r="L59" s="35">
        <f>F59*(C59+B59)/2*$G$12/1000</f>
        <v>7106.981519507187</v>
      </c>
      <c r="M59" s="35">
        <f>F59*(C59+B59)/2*$H$12/1000</f>
        <v>2368.9938398357285</v>
      </c>
      <c r="N59" s="35">
        <f>D59*((40-B59)/4940+(87-40)/2910+(C59-87)/2000)</f>
        <v>27.77063594752146</v>
      </c>
    </row>
    <row r="60" spans="1:14" ht="15">
      <c r="A60" s="132" t="s">
        <v>123</v>
      </c>
      <c r="B60" s="105"/>
      <c r="C60" s="105"/>
      <c r="D60" s="105">
        <f>SUM(D57:D59)</f>
        <v>3000</v>
      </c>
      <c r="E60" s="105"/>
      <c r="F60" s="101">
        <f aca="true" t="shared" si="11" ref="F60:N60">SUM(F57:F59)</f>
        <v>681.7248459958932</v>
      </c>
      <c r="G60" s="101">
        <f t="shared" si="11"/>
        <v>8518.2075</v>
      </c>
      <c r="H60" s="101">
        <f t="shared" si="11"/>
        <v>7471.0590612891865</v>
      </c>
      <c r="I60" s="101">
        <f t="shared" si="11"/>
        <v>1075.9525218386757</v>
      </c>
      <c r="J60" s="101">
        <f t="shared" si="11"/>
        <v>1851.1875000000005</v>
      </c>
      <c r="K60" s="101">
        <f t="shared" si="11"/>
        <v>1855.1879051863862</v>
      </c>
      <c r="L60" s="101">
        <f t="shared" si="11"/>
        <v>16582.956878850102</v>
      </c>
      <c r="M60" s="101">
        <f t="shared" si="11"/>
        <v>7106.981519507186</v>
      </c>
      <c r="N60" s="101">
        <f t="shared" si="11"/>
        <v>83.31190784256438</v>
      </c>
    </row>
    <row r="61" spans="1:14" ht="15">
      <c r="A61" s="20" t="s">
        <v>208</v>
      </c>
      <c r="B61" s="6">
        <v>100</v>
      </c>
      <c r="C61" s="123" t="s">
        <v>158</v>
      </c>
      <c r="D61" s="30"/>
      <c r="E61" s="6">
        <v>22.5</v>
      </c>
      <c r="F61" s="123" t="s">
        <v>206</v>
      </c>
      <c r="G61" s="30"/>
      <c r="H61" s="30"/>
      <c r="I61" s="30">
        <f>100-E61</f>
        <v>77.5</v>
      </c>
      <c r="J61" s="30"/>
      <c r="K61" s="30"/>
      <c r="L61" s="30"/>
      <c r="M61" s="30"/>
      <c r="N61" s="35">
        <f>B61/4.3</f>
        <v>23.255813953488374</v>
      </c>
    </row>
    <row r="62" spans="1:14" ht="15">
      <c r="A62" s="20" t="s">
        <v>143</v>
      </c>
      <c r="B62" s="123"/>
      <c r="C62" s="30"/>
      <c r="D62" s="30" t="s">
        <v>159</v>
      </c>
      <c r="E62" s="30"/>
      <c r="F62" s="30" t="s">
        <v>160</v>
      </c>
      <c r="G62" s="30"/>
      <c r="H62" s="30"/>
      <c r="I62" s="30"/>
      <c r="J62" s="30"/>
      <c r="K62" s="30"/>
      <c r="L62" s="30"/>
      <c r="M62" s="30"/>
      <c r="N62" s="21"/>
    </row>
    <row r="63" spans="1:14" ht="15">
      <c r="A63" s="21" t="s">
        <v>156</v>
      </c>
      <c r="B63" s="30"/>
      <c r="C63" s="30"/>
      <c r="D63" s="6">
        <v>50</v>
      </c>
      <c r="E63" s="30"/>
      <c r="F63" s="65">
        <f>$B$61*$E$61/100*D63/100</f>
        <v>11.25</v>
      </c>
      <c r="G63" s="35">
        <f aca="true" t="shared" si="12" ref="G63:K64">$B$61*$D63/100*B15</f>
        <v>384</v>
      </c>
      <c r="H63" s="35">
        <f t="shared" si="12"/>
        <v>340</v>
      </c>
      <c r="I63" s="35">
        <f t="shared" si="12"/>
        <v>43.25</v>
      </c>
      <c r="J63" s="35">
        <f t="shared" si="12"/>
        <v>83.52</v>
      </c>
      <c r="K63" s="35">
        <f t="shared" si="12"/>
        <v>83.6</v>
      </c>
      <c r="L63" s="35">
        <f>$F63*G15</f>
        <v>810</v>
      </c>
      <c r="M63" s="35">
        <f>$F63*H15</f>
        <v>148.5</v>
      </c>
      <c r="N63" s="21"/>
    </row>
    <row r="64" spans="1:14" ht="15">
      <c r="A64" s="21" t="s">
        <v>157</v>
      </c>
      <c r="B64" s="30"/>
      <c r="C64" s="30"/>
      <c r="D64" s="6">
        <v>50</v>
      </c>
      <c r="E64" s="30"/>
      <c r="F64" s="65">
        <f>$B$61*$E$61/100*D64/100</f>
        <v>11.25</v>
      </c>
      <c r="G64" s="35">
        <f t="shared" si="12"/>
        <v>384</v>
      </c>
      <c r="H64" s="35">
        <f t="shared" si="12"/>
        <v>304</v>
      </c>
      <c r="I64" s="35">
        <f t="shared" si="12"/>
        <v>79.35</v>
      </c>
      <c r="J64" s="35">
        <f t="shared" si="12"/>
        <v>83.52</v>
      </c>
      <c r="K64" s="35">
        <f t="shared" si="12"/>
        <v>83.6</v>
      </c>
      <c r="L64" s="35">
        <f>$F64*G16</f>
        <v>1125</v>
      </c>
      <c r="M64" s="35">
        <f>$F64*H16</f>
        <v>148.5</v>
      </c>
      <c r="N64" s="21"/>
    </row>
    <row r="65" spans="1:14" ht="15">
      <c r="A65" s="5" t="s">
        <v>163</v>
      </c>
      <c r="B65" s="105"/>
      <c r="C65" s="105"/>
      <c r="D65" s="105">
        <f>D63+D64</f>
        <v>100</v>
      </c>
      <c r="E65" s="105"/>
      <c r="F65" s="105">
        <f aca="true" t="shared" si="13" ref="F65:M65">F63+F64</f>
        <v>22.5</v>
      </c>
      <c r="G65" s="101">
        <f t="shared" si="13"/>
        <v>768</v>
      </c>
      <c r="H65" s="101">
        <f t="shared" si="13"/>
        <v>644</v>
      </c>
      <c r="I65" s="101">
        <f t="shared" si="13"/>
        <v>122.6</v>
      </c>
      <c r="J65" s="101">
        <f t="shared" si="13"/>
        <v>167.04</v>
      </c>
      <c r="K65" s="101">
        <f t="shared" si="13"/>
        <v>167.2</v>
      </c>
      <c r="L65" s="101">
        <f t="shared" si="13"/>
        <v>1935</v>
      </c>
      <c r="M65" s="101">
        <f t="shared" si="13"/>
        <v>297</v>
      </c>
      <c r="N65" s="21"/>
    </row>
    <row r="66" spans="1:14" ht="15">
      <c r="A66" s="20" t="s">
        <v>118</v>
      </c>
      <c r="B66" s="123"/>
      <c r="C66" s="30"/>
      <c r="D66" s="30" t="s">
        <v>161</v>
      </c>
      <c r="E66" s="30"/>
      <c r="F66" s="30"/>
      <c r="G66" s="30"/>
      <c r="H66" s="30"/>
      <c r="I66" s="30"/>
      <c r="J66" s="30"/>
      <c r="K66" s="30"/>
      <c r="L66" s="30"/>
      <c r="M66" s="30"/>
      <c r="N66" s="21"/>
    </row>
    <row r="67" spans="1:14" ht="15">
      <c r="A67" s="21" t="s">
        <v>213</v>
      </c>
      <c r="B67" s="30"/>
      <c r="C67" s="21"/>
      <c r="D67" s="6">
        <v>10</v>
      </c>
      <c r="E67" s="30"/>
      <c r="F67" s="65">
        <f aca="true" t="shared" si="14" ref="F67:F72">$B$61*$I$61/100*D67/100</f>
        <v>7.75</v>
      </c>
      <c r="G67" s="35">
        <f aca="true" t="shared" si="15" ref="G67:K72">$B$61*$D67/100*B18</f>
        <v>179.2</v>
      </c>
      <c r="H67" s="35">
        <f t="shared" si="15"/>
        <v>158.8</v>
      </c>
      <c r="I67" s="35">
        <f t="shared" si="15"/>
        <v>20.19</v>
      </c>
      <c r="J67" s="35">
        <f t="shared" si="15"/>
        <v>38.97599999999999</v>
      </c>
      <c r="K67" s="35">
        <f t="shared" si="15"/>
        <v>39</v>
      </c>
      <c r="L67" s="35">
        <f aca="true" t="shared" si="16" ref="L67:L72">F67*G18</f>
        <v>124</v>
      </c>
      <c r="M67" s="35">
        <f aca="true" t="shared" si="17" ref="M67:M72">F67*H18</f>
        <v>102.3</v>
      </c>
      <c r="N67" s="21"/>
    </row>
    <row r="68" spans="1:14" ht="15">
      <c r="A68" s="21" t="s">
        <v>212</v>
      </c>
      <c r="B68" s="30"/>
      <c r="C68" s="21"/>
      <c r="D68" s="6">
        <v>10</v>
      </c>
      <c r="E68" s="30"/>
      <c r="F68" s="65">
        <f t="shared" si="14"/>
        <v>7.75</v>
      </c>
      <c r="G68" s="35">
        <f t="shared" si="15"/>
        <v>179.2</v>
      </c>
      <c r="H68" s="35">
        <f t="shared" si="15"/>
        <v>151</v>
      </c>
      <c r="I68" s="35">
        <f t="shared" si="15"/>
        <v>27.959999999999997</v>
      </c>
      <c r="J68" s="35">
        <f t="shared" si="15"/>
        <v>38.97599999999999</v>
      </c>
      <c r="K68" s="35">
        <f t="shared" si="15"/>
        <v>39</v>
      </c>
      <c r="L68" s="35">
        <f t="shared" si="16"/>
        <v>124</v>
      </c>
      <c r="M68" s="35">
        <f t="shared" si="17"/>
        <v>102.3</v>
      </c>
      <c r="N68" s="21"/>
    </row>
    <row r="69" spans="1:14" ht="15">
      <c r="A69" s="21" t="s">
        <v>214</v>
      </c>
      <c r="B69" s="30"/>
      <c r="C69" s="30" t="s">
        <v>69</v>
      </c>
      <c r="D69" s="6">
        <v>10</v>
      </c>
      <c r="E69" s="30"/>
      <c r="F69" s="65">
        <f t="shared" si="14"/>
        <v>7.75</v>
      </c>
      <c r="G69" s="35">
        <f t="shared" si="15"/>
        <v>179.2</v>
      </c>
      <c r="H69" s="35">
        <f t="shared" si="15"/>
        <v>152.10000000000002</v>
      </c>
      <c r="I69" s="35">
        <f t="shared" si="15"/>
        <v>28.66</v>
      </c>
      <c r="J69" s="35">
        <f t="shared" si="15"/>
        <v>38.97599999999999</v>
      </c>
      <c r="K69" s="35">
        <f t="shared" si="15"/>
        <v>40.620000000000005</v>
      </c>
      <c r="L69" s="35">
        <f t="shared" si="16"/>
        <v>124</v>
      </c>
      <c r="M69" s="35">
        <f t="shared" si="17"/>
        <v>102.3</v>
      </c>
      <c r="N69" s="87" t="s">
        <v>229</v>
      </c>
    </row>
    <row r="70" spans="1:14" ht="15">
      <c r="A70" s="21" t="s">
        <v>215</v>
      </c>
      <c r="B70" s="30"/>
      <c r="C70" s="30"/>
      <c r="D70" s="6">
        <v>10</v>
      </c>
      <c r="E70" s="30"/>
      <c r="F70" s="65">
        <f t="shared" si="14"/>
        <v>7.75</v>
      </c>
      <c r="G70" s="35">
        <f t="shared" si="15"/>
        <v>179.2</v>
      </c>
      <c r="H70" s="35">
        <f t="shared" si="15"/>
        <v>149.5</v>
      </c>
      <c r="I70" s="35">
        <f t="shared" si="15"/>
        <v>31.259999999999998</v>
      </c>
      <c r="J70" s="35">
        <f t="shared" si="15"/>
        <v>38.97599999999999</v>
      </c>
      <c r="K70" s="35">
        <f t="shared" si="15"/>
        <v>40.620000000000005</v>
      </c>
      <c r="L70" s="35">
        <f t="shared" si="16"/>
        <v>124</v>
      </c>
      <c r="M70" s="35">
        <f t="shared" si="17"/>
        <v>102.3</v>
      </c>
      <c r="N70" s="87" t="s">
        <v>230</v>
      </c>
    </row>
    <row r="71" spans="1:14" ht="15">
      <c r="A71" s="21" t="s">
        <v>134</v>
      </c>
      <c r="B71" s="30"/>
      <c r="C71" s="30"/>
      <c r="D71" s="6">
        <v>10</v>
      </c>
      <c r="E71" s="30"/>
      <c r="F71" s="65">
        <f t="shared" si="14"/>
        <v>7.75</v>
      </c>
      <c r="G71" s="35">
        <f t="shared" si="15"/>
        <v>179.2</v>
      </c>
      <c r="H71" s="35">
        <f t="shared" si="15"/>
        <v>141.7</v>
      </c>
      <c r="I71" s="35">
        <f t="shared" si="15"/>
        <v>37.61</v>
      </c>
      <c r="J71" s="35">
        <f t="shared" si="15"/>
        <v>38.97599999999999</v>
      </c>
      <c r="K71" s="35">
        <f t="shared" si="15"/>
        <v>43.16</v>
      </c>
      <c r="L71" s="35">
        <f t="shared" si="16"/>
        <v>124</v>
      </c>
      <c r="M71" s="35">
        <f t="shared" si="17"/>
        <v>102.3</v>
      </c>
      <c r="N71" s="87" t="s">
        <v>231</v>
      </c>
    </row>
    <row r="72" spans="1:14" ht="15">
      <c r="A72" s="21" t="s">
        <v>216</v>
      </c>
      <c r="B72" s="30"/>
      <c r="C72" s="30"/>
      <c r="D72" s="6">
        <v>50</v>
      </c>
      <c r="E72" s="30"/>
      <c r="F72" s="65">
        <f t="shared" si="14"/>
        <v>38.75</v>
      </c>
      <c r="G72" s="35">
        <f t="shared" si="15"/>
        <v>895.9999999999999</v>
      </c>
      <c r="H72" s="35">
        <f t="shared" si="15"/>
        <v>783</v>
      </c>
      <c r="I72" s="35">
        <f t="shared" si="15"/>
        <v>120.30000000000001</v>
      </c>
      <c r="J72" s="35">
        <f t="shared" si="15"/>
        <v>194.87999999999997</v>
      </c>
      <c r="K72" s="35">
        <f t="shared" si="15"/>
        <v>196.15</v>
      </c>
      <c r="L72" s="35">
        <f t="shared" si="16"/>
        <v>620</v>
      </c>
      <c r="M72" s="35">
        <f t="shared" si="17"/>
        <v>511.5</v>
      </c>
      <c r="N72" s="87" t="s">
        <v>92</v>
      </c>
    </row>
    <row r="73" spans="1:14" ht="15">
      <c r="A73" s="5" t="s">
        <v>164</v>
      </c>
      <c r="B73" s="105"/>
      <c r="C73" s="105"/>
      <c r="D73" s="105">
        <f>D67+D68+D69+D70+D71+D72</f>
        <v>100</v>
      </c>
      <c r="E73" s="105"/>
      <c r="F73" s="105">
        <f aca="true" t="shared" si="18" ref="F73:M73">F67+F68+F69+F70+F71+F72</f>
        <v>77.5</v>
      </c>
      <c r="G73" s="101">
        <f t="shared" si="18"/>
        <v>1792</v>
      </c>
      <c r="H73" s="101">
        <f t="shared" si="18"/>
        <v>1536.1000000000001</v>
      </c>
      <c r="I73" s="101">
        <f t="shared" si="18"/>
        <v>265.98</v>
      </c>
      <c r="J73" s="101">
        <f t="shared" si="18"/>
        <v>389.75999999999993</v>
      </c>
      <c r="K73" s="101">
        <f t="shared" si="18"/>
        <v>398.55</v>
      </c>
      <c r="L73" s="101">
        <f t="shared" si="18"/>
        <v>1240</v>
      </c>
      <c r="M73" s="101">
        <f t="shared" si="18"/>
        <v>1023</v>
      </c>
      <c r="N73" s="87"/>
    </row>
    <row r="74" spans="1:14" ht="15">
      <c r="A74" s="14" t="s">
        <v>162</v>
      </c>
      <c r="B74" s="121"/>
      <c r="C74" s="121"/>
      <c r="D74" s="121"/>
      <c r="E74" s="121" t="s">
        <v>69</v>
      </c>
      <c r="F74" s="121"/>
      <c r="G74" s="122">
        <f aca="true" t="shared" si="19" ref="G74:M74">G55+G60+G65+G73</f>
        <v>12608.121484000001</v>
      </c>
      <c r="H74" s="122">
        <f t="shared" si="19"/>
        <v>11051.080353838206</v>
      </c>
      <c r="I74" s="122">
        <f t="shared" si="19"/>
        <v>1611.7242463124012</v>
      </c>
      <c r="J74" s="122">
        <f t="shared" si="19"/>
        <v>2815.9227</v>
      </c>
      <c r="K74" s="122">
        <f t="shared" si="19"/>
        <v>2830.8727875393274</v>
      </c>
      <c r="L74" s="122">
        <f t="shared" si="19"/>
        <v>23122.556468172483</v>
      </c>
      <c r="M74" s="122">
        <f t="shared" si="19"/>
        <v>10286.365503080082</v>
      </c>
      <c r="N74" s="140">
        <f>N55+N60+N61</f>
        <v>121.62845054099202</v>
      </c>
    </row>
    <row r="75" spans="1:14" ht="15">
      <c r="A75" s="98" t="s">
        <v>149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</row>
    <row r="76" spans="1:14" ht="15">
      <c r="A76" s="98" t="s">
        <v>150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</row>
    <row r="77" spans="1:14" ht="15">
      <c r="A77" s="98" t="s">
        <v>137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</row>
    <row r="78" spans="1:14" ht="15">
      <c r="A78" s="98" t="s">
        <v>138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</row>
    <row r="79" spans="1:14" ht="15">
      <c r="A79" s="98" t="s">
        <v>141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</row>
  </sheetData>
  <sheetProtection password="DC48" sheet="1"/>
  <conditionalFormatting sqref="G74:M74">
    <cfRule type="expression" priority="1" dxfId="1" stopIfTrue="1">
      <formula>IF(G74&gt;G49,1,0)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K60" sqref="K60"/>
    </sheetView>
  </sheetViews>
  <sheetFormatPr defaultColWidth="9.140625" defaultRowHeight="15"/>
  <cols>
    <col min="1" max="1" width="12.421875" style="0" customWidth="1"/>
    <col min="2" max="2" width="10.28125" style="0" customWidth="1"/>
    <col min="3" max="3" width="9.57421875" style="0" bestFit="1" customWidth="1"/>
  </cols>
  <sheetData>
    <row r="1" ht="15.75">
      <c r="A1" s="80" t="s">
        <v>78</v>
      </c>
    </row>
    <row r="2" spans="1:12" ht="15">
      <c r="A2" t="s">
        <v>79</v>
      </c>
      <c r="H2" s="146" t="s">
        <v>238</v>
      </c>
      <c r="I2" s="146"/>
      <c r="J2" s="146"/>
      <c r="K2" s="146"/>
      <c r="L2" s="4"/>
    </row>
    <row r="3" spans="1:12" ht="15">
      <c r="A3" s="3" t="s">
        <v>146</v>
      </c>
      <c r="B3" s="3"/>
      <c r="C3" s="3"/>
      <c r="D3" s="87" t="s">
        <v>147</v>
      </c>
      <c r="E3" s="87"/>
      <c r="F3" s="87"/>
      <c r="G3" s="87"/>
      <c r="H3" s="146" t="s">
        <v>281</v>
      </c>
      <c r="I3" s="146"/>
      <c r="J3" s="146"/>
      <c r="K3" s="146"/>
      <c r="L3" s="4"/>
    </row>
    <row r="4" ht="15">
      <c r="H4" t="s">
        <v>274</v>
      </c>
    </row>
    <row r="5" ht="15">
      <c r="A5" t="s">
        <v>233</v>
      </c>
    </row>
    <row r="6" ht="15">
      <c r="A6" t="s">
        <v>234</v>
      </c>
    </row>
    <row r="7" spans="1:13" ht="15">
      <c r="A7" t="s">
        <v>235</v>
      </c>
      <c r="L7" s="4"/>
      <c r="M7" s="4"/>
    </row>
    <row r="8" spans="1:13" ht="15">
      <c r="A8" t="s">
        <v>236</v>
      </c>
      <c r="L8" s="4"/>
      <c r="M8" s="4"/>
    </row>
    <row r="9" spans="1:13" ht="15">
      <c r="A9" s="92" t="s">
        <v>145</v>
      </c>
      <c r="L9" s="4"/>
      <c r="M9" s="4"/>
    </row>
    <row r="11" ht="15">
      <c r="A11" s="82" t="s">
        <v>87</v>
      </c>
    </row>
    <row r="12" spans="1:5" ht="15">
      <c r="A12" t="s">
        <v>80</v>
      </c>
      <c r="C12" s="81" t="s">
        <v>52</v>
      </c>
      <c r="D12" s="81" t="s">
        <v>81</v>
      </c>
      <c r="E12" s="81" t="s">
        <v>82</v>
      </c>
    </row>
    <row r="13" spans="1:5" ht="15">
      <c r="A13" t="s">
        <v>36</v>
      </c>
      <c r="C13" s="6">
        <v>3000</v>
      </c>
      <c r="D13" s="6">
        <v>7.2</v>
      </c>
      <c r="E13" s="6">
        <v>32</v>
      </c>
    </row>
    <row r="14" spans="1:5" ht="15">
      <c r="A14" t="s">
        <v>83</v>
      </c>
      <c r="C14" s="81"/>
      <c r="D14" s="6">
        <v>7.2</v>
      </c>
      <c r="E14" s="6">
        <v>32</v>
      </c>
    </row>
    <row r="15" spans="3:4" ht="15">
      <c r="C15" s="81" t="s">
        <v>85</v>
      </c>
      <c r="D15" s="81" t="s">
        <v>85</v>
      </c>
    </row>
    <row r="16" spans="3:4" ht="15">
      <c r="C16" s="81" t="s">
        <v>94</v>
      </c>
      <c r="D16" s="81">
        <v>2013</v>
      </c>
    </row>
    <row r="17" spans="1:5" ht="15">
      <c r="A17" t="s">
        <v>180</v>
      </c>
      <c r="C17" s="2">
        <f>(25-D13)*C13/4000</f>
        <v>13.35</v>
      </c>
      <c r="D17" s="2">
        <f>(25-D13)*C13/4940</f>
        <v>10.809716599190283</v>
      </c>
      <c r="E17" t="s">
        <v>166</v>
      </c>
    </row>
    <row r="18" spans="1:5" ht="15">
      <c r="A18" t="s">
        <v>181</v>
      </c>
      <c r="C18" s="2">
        <f>(E13-25)/4000*C13</f>
        <v>5.25</v>
      </c>
      <c r="D18" s="2">
        <f>C18</f>
        <v>5.25</v>
      </c>
      <c r="E18" t="s">
        <v>232</v>
      </c>
    </row>
    <row r="19" spans="1:4" ht="15">
      <c r="A19" t="s">
        <v>84</v>
      </c>
      <c r="C19" s="2">
        <f>C17+C18</f>
        <v>18.6</v>
      </c>
      <c r="D19" s="134">
        <f>D17+D18</f>
        <v>16.05971659919028</v>
      </c>
    </row>
    <row r="21" spans="1:5" ht="15">
      <c r="A21" s="87" t="s">
        <v>86</v>
      </c>
      <c r="B21" s="87"/>
      <c r="C21" s="87"/>
      <c r="D21" s="87"/>
      <c r="E21" s="135">
        <f>(D19*4940)/(E14-D14)</f>
        <v>3198.9919354838703</v>
      </c>
    </row>
    <row r="23" ht="15">
      <c r="A23" s="82" t="s">
        <v>184</v>
      </c>
    </row>
    <row r="24" ht="15">
      <c r="A24" s="4" t="s">
        <v>33</v>
      </c>
    </row>
    <row r="25" ht="15">
      <c r="A25" s="4"/>
    </row>
    <row r="26" ht="15">
      <c r="A26" s="4" t="s">
        <v>167</v>
      </c>
    </row>
    <row r="27" ht="15">
      <c r="A27" s="4" t="s">
        <v>183</v>
      </c>
    </row>
    <row r="28" ht="15">
      <c r="A28" s="4" t="s">
        <v>178</v>
      </c>
    </row>
    <row r="29" ht="15">
      <c r="A29" s="4" t="s">
        <v>179</v>
      </c>
    </row>
    <row r="30" ht="15">
      <c r="A30" s="4" t="s">
        <v>169</v>
      </c>
    </row>
    <row r="31" ht="15">
      <c r="A31" s="4" t="s">
        <v>170</v>
      </c>
    </row>
    <row r="32" spans="7:8" ht="15">
      <c r="G32" s="81" t="s">
        <v>88</v>
      </c>
      <c r="H32" s="81" t="s">
        <v>91</v>
      </c>
    </row>
    <row r="33" spans="3:9" ht="15">
      <c r="C33" s="81" t="s">
        <v>52</v>
      </c>
      <c r="D33" s="81" t="s">
        <v>81</v>
      </c>
      <c r="E33" s="81" t="s">
        <v>82</v>
      </c>
      <c r="G33" s="81" t="s">
        <v>89</v>
      </c>
      <c r="H33" s="81" t="s">
        <v>92</v>
      </c>
      <c r="I33" s="81" t="s">
        <v>90</v>
      </c>
    </row>
    <row r="34" spans="1:9" ht="15">
      <c r="A34" t="s">
        <v>36</v>
      </c>
      <c r="C34" s="6">
        <v>1500</v>
      </c>
      <c r="D34" s="6">
        <v>32</v>
      </c>
      <c r="E34" s="6">
        <v>107</v>
      </c>
      <c r="G34" s="2">
        <f>C34/H34</f>
        <v>32.70824247710423</v>
      </c>
      <c r="H34" s="7">
        <v>45.86</v>
      </c>
      <c r="I34" s="81" t="s">
        <v>94</v>
      </c>
    </row>
    <row r="35" spans="1:11" ht="15">
      <c r="A35" s="82" t="s">
        <v>99</v>
      </c>
      <c r="C35" s="89"/>
      <c r="D35" s="89"/>
      <c r="E35" s="89"/>
      <c r="F35" t="s">
        <v>168</v>
      </c>
      <c r="G35" s="143" t="s">
        <v>237</v>
      </c>
      <c r="H35" s="141"/>
      <c r="I35" s="142"/>
      <c r="J35" s="145"/>
      <c r="K35" s="144"/>
    </row>
    <row r="36" spans="1:9" ht="15">
      <c r="A36" t="s">
        <v>83</v>
      </c>
      <c r="C36" s="86">
        <f>C34</f>
        <v>1500</v>
      </c>
      <c r="D36" s="6">
        <v>32</v>
      </c>
      <c r="E36" s="6">
        <v>107</v>
      </c>
      <c r="F36" s="84">
        <f>(40-D36)/4940+(87-40)/2910+(E36-87)/2000</f>
        <v>0.02777063594752146</v>
      </c>
      <c r="G36" s="2">
        <f>1/F36</f>
        <v>36.009258192347964</v>
      </c>
      <c r="H36" s="2">
        <f>C36*F36</f>
        <v>41.65595392128219</v>
      </c>
      <c r="I36" s="81" t="s">
        <v>93</v>
      </c>
    </row>
    <row r="37" spans="1:9" ht="15">
      <c r="A37" s="87" t="s">
        <v>155</v>
      </c>
      <c r="B37" s="87"/>
      <c r="C37" s="83">
        <f>H34/F36</f>
        <v>1651.3845807010778</v>
      </c>
      <c r="D37" s="88">
        <f>D36</f>
        <v>32</v>
      </c>
      <c r="E37" s="88">
        <f>E36</f>
        <v>107</v>
      </c>
      <c r="F37" s="85">
        <f>F36</f>
        <v>0.02777063594752146</v>
      </c>
      <c r="G37" s="2">
        <f>G36</f>
        <v>36.009258192347964</v>
      </c>
      <c r="H37" s="134">
        <f>C37*F37</f>
        <v>45.86</v>
      </c>
      <c r="I37" s="81" t="s">
        <v>93</v>
      </c>
    </row>
    <row r="39" ht="15">
      <c r="A39" t="s">
        <v>171</v>
      </c>
    </row>
    <row r="41" spans="2:3" ht="15">
      <c r="B41" s="128" t="s">
        <v>95</v>
      </c>
      <c r="C41" s="81"/>
    </row>
    <row r="42" spans="2:3" ht="15">
      <c r="B42" s="81" t="s">
        <v>94</v>
      </c>
      <c r="C42" s="81" t="s">
        <v>93</v>
      </c>
    </row>
    <row r="43" spans="1:6" ht="15">
      <c r="A43" t="s">
        <v>96</v>
      </c>
      <c r="B43" s="81">
        <v>4000</v>
      </c>
      <c r="C43" s="81">
        <v>4940</v>
      </c>
      <c r="F43" s="82"/>
    </row>
    <row r="44" spans="1:3" ht="15">
      <c r="A44" t="s">
        <v>97</v>
      </c>
      <c r="B44" s="81">
        <v>2500</v>
      </c>
      <c r="C44" s="81">
        <v>2910</v>
      </c>
    </row>
    <row r="45" spans="1:3" ht="15">
      <c r="A45" t="s">
        <v>98</v>
      </c>
      <c r="B45" s="81">
        <v>2000</v>
      </c>
      <c r="C45" s="81">
        <v>2000</v>
      </c>
    </row>
    <row r="46" ht="15">
      <c r="B46" s="82" t="s">
        <v>172</v>
      </c>
    </row>
    <row r="47" spans="2:3" ht="15">
      <c r="B47" s="82" t="s">
        <v>94</v>
      </c>
      <c r="C47" s="82" t="s">
        <v>93</v>
      </c>
    </row>
    <row r="48" spans="1:5" ht="15">
      <c r="A48" t="s">
        <v>173</v>
      </c>
      <c r="B48" s="81" t="s">
        <v>182</v>
      </c>
      <c r="C48" s="81">
        <v>40.5</v>
      </c>
      <c r="E48" t="s">
        <v>185</v>
      </c>
    </row>
    <row r="49" spans="1:5" ht="15">
      <c r="A49" t="s">
        <v>174</v>
      </c>
      <c r="B49" t="s">
        <v>177</v>
      </c>
      <c r="C49" s="2">
        <v>39</v>
      </c>
      <c r="E49" t="s">
        <v>190</v>
      </c>
    </row>
    <row r="50" spans="1:5" ht="15">
      <c r="A50" t="s">
        <v>175</v>
      </c>
      <c r="B50" t="s">
        <v>176</v>
      </c>
      <c r="C50" s="2">
        <v>36</v>
      </c>
      <c r="E50" t="s">
        <v>186</v>
      </c>
    </row>
    <row r="51" ht="15">
      <c r="E51" t="s">
        <v>187</v>
      </c>
    </row>
    <row r="53" ht="15">
      <c r="E53" t="s">
        <v>188</v>
      </c>
    </row>
    <row r="54" ht="15">
      <c r="E54" t="s">
        <v>189</v>
      </c>
    </row>
    <row r="55" ht="15">
      <c r="E55" t="s">
        <v>210</v>
      </c>
    </row>
    <row r="56" ht="15">
      <c r="E56" t="s">
        <v>211</v>
      </c>
    </row>
  </sheetData>
  <sheetProtection password="DC48" sheet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I60" sqref="I60"/>
    </sheetView>
  </sheetViews>
  <sheetFormatPr defaultColWidth="9.140625" defaultRowHeight="15"/>
  <cols>
    <col min="1" max="1" width="29.57421875" style="0" customWidth="1"/>
    <col min="2" max="2" width="12.421875" style="0" customWidth="1"/>
    <col min="3" max="3" width="13.8515625" style="0" customWidth="1"/>
  </cols>
  <sheetData>
    <row r="1" ht="21">
      <c r="A1" s="63" t="s">
        <v>35</v>
      </c>
    </row>
    <row r="2" spans="1:9" ht="15.75">
      <c r="A2" s="80" t="s">
        <v>76</v>
      </c>
      <c r="H2" s="148" t="s">
        <v>238</v>
      </c>
      <c r="I2" s="148"/>
    </row>
    <row r="3" spans="1:9" ht="15">
      <c r="A3" s="3" t="s">
        <v>48</v>
      </c>
      <c r="B3" s="3"/>
      <c r="C3" s="3"/>
      <c r="D3" s="3"/>
      <c r="E3" s="3"/>
      <c r="F3" s="3"/>
      <c r="G3" s="148" t="s">
        <v>281</v>
      </c>
      <c r="H3" s="148"/>
      <c r="I3" s="148"/>
    </row>
    <row r="4" spans="1:10" ht="15">
      <c r="A4" s="23" t="s">
        <v>64</v>
      </c>
      <c r="B4" s="23"/>
      <c r="C4" s="23"/>
      <c r="D4" s="23"/>
      <c r="E4" s="23"/>
      <c r="F4" s="23"/>
      <c r="G4" s="23"/>
      <c r="H4" s="23"/>
      <c r="I4" s="23"/>
      <c r="J4" s="82" t="s">
        <v>191</v>
      </c>
    </row>
    <row r="5" spans="1:10" ht="15">
      <c r="A5" s="23" t="s">
        <v>74</v>
      </c>
      <c r="B5" s="23"/>
      <c r="C5" s="23"/>
      <c r="D5" s="23"/>
      <c r="E5" s="23"/>
      <c r="F5" s="23"/>
      <c r="G5" s="23"/>
      <c r="H5" s="23"/>
      <c r="I5" s="23"/>
      <c r="J5" t="s">
        <v>195</v>
      </c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t="s">
        <v>198</v>
      </c>
    </row>
    <row r="7" spans="1:10" ht="15">
      <c r="A7" s="20" t="s">
        <v>29</v>
      </c>
      <c r="B7" s="21"/>
      <c r="C7" s="21"/>
      <c r="D7" s="30" t="s">
        <v>34</v>
      </c>
      <c r="E7" s="30" t="s">
        <v>68</v>
      </c>
      <c r="F7" s="30" t="s">
        <v>61</v>
      </c>
      <c r="G7" s="14" t="s">
        <v>63</v>
      </c>
      <c r="H7" s="15"/>
      <c r="I7" s="15"/>
      <c r="J7" t="s">
        <v>192</v>
      </c>
    </row>
    <row r="8" spans="1:10" ht="15">
      <c r="A8" s="21"/>
      <c r="B8" s="30" t="s">
        <v>0</v>
      </c>
      <c r="C8" s="21" t="s">
        <v>59</v>
      </c>
      <c r="D8" s="30" t="s">
        <v>253</v>
      </c>
      <c r="E8" s="30" t="s">
        <v>41</v>
      </c>
      <c r="F8" s="30" t="s">
        <v>44</v>
      </c>
      <c r="G8" s="14" t="s">
        <v>45</v>
      </c>
      <c r="H8" s="15"/>
      <c r="I8" s="15"/>
      <c r="J8" t="s">
        <v>193</v>
      </c>
    </row>
    <row r="9" spans="1:10" ht="15">
      <c r="A9" s="20"/>
      <c r="B9" s="29" t="s">
        <v>36</v>
      </c>
      <c r="C9" s="29" t="s">
        <v>37</v>
      </c>
      <c r="D9" s="30" t="s">
        <v>40</v>
      </c>
      <c r="E9" s="30" t="s">
        <v>42</v>
      </c>
      <c r="F9" s="30" t="s">
        <v>39</v>
      </c>
      <c r="G9" s="14" t="s">
        <v>46</v>
      </c>
      <c r="H9" s="15"/>
      <c r="I9" s="15"/>
      <c r="J9" t="s">
        <v>194</v>
      </c>
    </row>
    <row r="10" spans="1:9" ht="15">
      <c r="A10" s="21" t="s">
        <v>47</v>
      </c>
      <c r="B10" s="24">
        <v>0</v>
      </c>
      <c r="C10" s="6">
        <v>100</v>
      </c>
      <c r="D10" s="65">
        <v>1</v>
      </c>
      <c r="E10" s="33">
        <f>IF(B10&gt;0,IF(B16&lt;C16,B17/D16,C17/D16),C17/D16)</f>
        <v>103.28638497652582</v>
      </c>
      <c r="F10" s="33">
        <f>E10/D24*23</f>
        <v>551.0771016583764</v>
      </c>
      <c r="G10" s="17">
        <f>IF(F10/D19&lt;E10,F10/D19,E10)</f>
        <v>98.58266577072922</v>
      </c>
      <c r="H10" s="15" t="s">
        <v>52</v>
      </c>
      <c r="I10" s="15"/>
    </row>
    <row r="11" spans="1:10" ht="15">
      <c r="A11" s="21" t="s">
        <v>22</v>
      </c>
      <c r="B11" s="24">
        <v>30</v>
      </c>
      <c r="C11" s="65">
        <v>26</v>
      </c>
      <c r="D11" s="65">
        <v>28.8</v>
      </c>
      <c r="E11" s="21"/>
      <c r="F11" s="21"/>
      <c r="G11" s="16">
        <f>G10*D16</f>
        <v>2519.7729370998386</v>
      </c>
      <c r="H11" s="15" t="s">
        <v>53</v>
      </c>
      <c r="I11" s="15"/>
      <c r="J11" t="s">
        <v>196</v>
      </c>
    </row>
    <row r="12" spans="1:10" ht="15">
      <c r="A12" s="21" t="s">
        <v>1</v>
      </c>
      <c r="B12" s="24">
        <v>8</v>
      </c>
      <c r="C12" s="65">
        <v>7.3</v>
      </c>
      <c r="D12" s="65">
        <v>7.2</v>
      </c>
      <c r="E12" s="21"/>
      <c r="F12" s="21"/>
      <c r="G12" s="16">
        <f>G10*D19</f>
        <v>551.0771016583764</v>
      </c>
      <c r="H12" s="15" t="s">
        <v>54</v>
      </c>
      <c r="I12" s="15"/>
      <c r="J12" t="s">
        <v>197</v>
      </c>
    </row>
    <row r="13" spans="1:9" ht="15">
      <c r="A13" s="21" t="s">
        <v>2</v>
      </c>
      <c r="B13" s="25">
        <v>140</v>
      </c>
      <c r="C13" s="62">
        <v>139.6</v>
      </c>
      <c r="D13" s="65">
        <v>133.4</v>
      </c>
      <c r="E13" s="21"/>
      <c r="F13" s="21"/>
      <c r="G13" s="16">
        <f>G10*D18</f>
        <v>549.1054483429618</v>
      </c>
      <c r="H13" s="15" t="s">
        <v>55</v>
      </c>
      <c r="I13" s="15"/>
    </row>
    <row r="14" spans="1:10" ht="15">
      <c r="A14" s="21" t="s">
        <v>3</v>
      </c>
      <c r="B14" s="26">
        <v>4.7</v>
      </c>
      <c r="C14" s="66">
        <v>5</v>
      </c>
      <c r="D14" s="65">
        <v>4.8</v>
      </c>
      <c r="E14" s="21"/>
      <c r="F14" s="21"/>
      <c r="G14" s="17">
        <f>G10/D24</f>
        <v>22.86872804700582</v>
      </c>
      <c r="H14" s="15" t="s">
        <v>60</v>
      </c>
      <c r="I14" s="15"/>
      <c r="J14" t="s">
        <v>199</v>
      </c>
    </row>
    <row r="15" spans="1:10" ht="15">
      <c r="A15" s="21" t="s">
        <v>4</v>
      </c>
      <c r="B15" s="24">
        <v>1520</v>
      </c>
      <c r="C15" s="65">
        <v>1490</v>
      </c>
      <c r="D15" s="65">
        <v>1540</v>
      </c>
      <c r="E15" s="21"/>
      <c r="F15" s="21" t="s">
        <v>73</v>
      </c>
      <c r="G15" s="22"/>
      <c r="H15" s="21"/>
      <c r="I15" s="21"/>
      <c r="J15" t="s">
        <v>200</v>
      </c>
    </row>
    <row r="16" spans="1:9" ht="15">
      <c r="A16" s="21" t="s">
        <v>23</v>
      </c>
      <c r="B16" s="33">
        <f>(B$15*B$13)/6250-1.98-(B$11*B$12*0.0257)</f>
        <v>25.900000000000006</v>
      </c>
      <c r="C16" s="33">
        <v>26.4</v>
      </c>
      <c r="D16" s="33">
        <v>25.56</v>
      </c>
      <c r="E16" s="21"/>
      <c r="F16" s="21" t="s">
        <v>71</v>
      </c>
      <c r="G16" s="21"/>
      <c r="H16" s="21"/>
      <c r="I16" s="21"/>
    </row>
    <row r="17" spans="1:10" ht="15">
      <c r="A17" s="21" t="s">
        <v>5</v>
      </c>
      <c r="B17" s="39">
        <f>B10*B16</f>
        <v>0</v>
      </c>
      <c r="C17" s="35">
        <f>C10*C16</f>
        <v>2640</v>
      </c>
      <c r="D17" s="33">
        <f>D10*D16</f>
        <v>25.56</v>
      </c>
      <c r="E17" s="22"/>
      <c r="F17" s="21" t="s">
        <v>72</v>
      </c>
      <c r="G17" s="21"/>
      <c r="H17" s="21"/>
      <c r="I17" s="21"/>
      <c r="J17" t="s">
        <v>252</v>
      </c>
    </row>
    <row r="18" spans="1:10" ht="15">
      <c r="A18" s="21" t="s">
        <v>21</v>
      </c>
      <c r="B18" s="33">
        <f>(B$15*B$14)/1000-0.58-(B$11*B$12*0.006)</f>
        <v>5.1240000000000006</v>
      </c>
      <c r="C18" s="33">
        <f>(C$15*C$14)/1000-0.58-(C$11*C$12*0.006)</f>
        <v>5.7312</v>
      </c>
      <c r="D18" s="33">
        <v>5.57</v>
      </c>
      <c r="E18" s="21"/>
      <c r="F18" s="21"/>
      <c r="G18" s="21"/>
      <c r="H18" s="21"/>
      <c r="I18" s="21"/>
      <c r="J18" t="s">
        <v>204</v>
      </c>
    </row>
    <row r="19" spans="1:10" ht="15">
      <c r="A19" s="21" t="s">
        <v>49</v>
      </c>
      <c r="B19" s="33"/>
      <c r="C19" s="33"/>
      <c r="D19" s="7">
        <v>5.59</v>
      </c>
      <c r="E19" s="22" t="s">
        <v>70</v>
      </c>
      <c r="F19" s="21"/>
      <c r="G19" s="21"/>
      <c r="H19" s="21"/>
      <c r="I19" s="21"/>
      <c r="J19" t="s">
        <v>201</v>
      </c>
    </row>
    <row r="20" spans="1:10" ht="15">
      <c r="A20" s="21" t="s">
        <v>15</v>
      </c>
      <c r="B20" s="39">
        <f>B10*B18</f>
        <v>0</v>
      </c>
      <c r="C20" s="36">
        <f>C10*C18</f>
        <v>573.12</v>
      </c>
      <c r="D20" s="35">
        <f>D10*D18</f>
        <v>5.57</v>
      </c>
      <c r="E20" s="22" t="s">
        <v>296</v>
      </c>
      <c r="F20" s="22"/>
      <c r="G20" s="21"/>
      <c r="H20" s="21"/>
      <c r="I20" s="21"/>
      <c r="J20" t="s">
        <v>202</v>
      </c>
    </row>
    <row r="21" spans="1:10" ht="15">
      <c r="A21" s="21" t="s">
        <v>16</v>
      </c>
      <c r="B21" s="37">
        <f>1/4.3+B11*(B12-7.3)/4940</f>
        <v>0.2368091516806327</v>
      </c>
      <c r="C21" s="37">
        <f>1/4.3+C11*(C12-7.3)/4940</f>
        <v>0.23255813953488372</v>
      </c>
      <c r="D21" s="37">
        <f>1/4.3+D11*(D12-7.3)/4940</f>
        <v>0.23197514358346671</v>
      </c>
      <c r="E21" s="21" t="s">
        <v>254</v>
      </c>
      <c r="F21" s="21"/>
      <c r="G21" s="21"/>
      <c r="H21" s="21"/>
      <c r="I21" s="21"/>
      <c r="J21" t="s">
        <v>203</v>
      </c>
    </row>
    <row r="22" spans="1:9" ht="15">
      <c r="A22" s="21" t="s">
        <v>30</v>
      </c>
      <c r="B22" s="33">
        <f>B18/B21</f>
        <v>21.637677275709205</v>
      </c>
      <c r="C22" s="33">
        <f>C18/C21</f>
        <v>24.644160000000003</v>
      </c>
      <c r="D22" s="33">
        <f>D18/D21</f>
        <v>24.011193242330574</v>
      </c>
      <c r="E22" s="60" t="s">
        <v>67</v>
      </c>
      <c r="F22" s="5"/>
      <c r="G22" s="5"/>
      <c r="H22" s="5"/>
      <c r="I22" s="61">
        <f>D19/D21</f>
        <v>24.09740937605528</v>
      </c>
    </row>
    <row r="23" spans="1:9" ht="15">
      <c r="A23" s="21" t="s">
        <v>25</v>
      </c>
      <c r="B23" s="33">
        <f>B10*B21</f>
        <v>0</v>
      </c>
      <c r="C23" s="33">
        <f>C10*C21</f>
        <v>23.25581395348837</v>
      </c>
      <c r="D23" s="33">
        <f>D10*D21</f>
        <v>0.23197514358346671</v>
      </c>
      <c r="E23" s="5" t="s">
        <v>255</v>
      </c>
      <c r="F23" s="5"/>
      <c r="G23" s="61"/>
      <c r="H23" s="5"/>
      <c r="I23" s="5"/>
    </row>
    <row r="24" spans="1:10" ht="15">
      <c r="A24" s="21" t="s">
        <v>24</v>
      </c>
      <c r="B24" s="34">
        <f>1/B21</f>
        <v>4.222809772776971</v>
      </c>
      <c r="C24" s="34">
        <f>1/C21</f>
        <v>4.3</v>
      </c>
      <c r="D24" s="34">
        <f>1/D21</f>
        <v>4.310806686235291</v>
      </c>
      <c r="E24" s="5" t="s">
        <v>65</v>
      </c>
      <c r="F24" s="5"/>
      <c r="G24" s="5"/>
      <c r="H24" s="5"/>
      <c r="I24" s="5"/>
      <c r="J24" s="82" t="s">
        <v>239</v>
      </c>
    </row>
    <row r="25" spans="2:10" ht="15">
      <c r="B25" s="1"/>
      <c r="C25" s="1"/>
      <c r="D25" s="9"/>
      <c r="J25" t="s">
        <v>240</v>
      </c>
    </row>
    <row r="26" spans="1:10" ht="15">
      <c r="A26" s="40" t="s">
        <v>28</v>
      </c>
      <c r="B26" s="41"/>
      <c r="C26" s="41"/>
      <c r="D26" s="44" t="s">
        <v>34</v>
      </c>
      <c r="E26" s="44" t="s">
        <v>38</v>
      </c>
      <c r="F26" s="44" t="s">
        <v>43</v>
      </c>
      <c r="G26" s="79" t="s">
        <v>62</v>
      </c>
      <c r="H26" s="54"/>
      <c r="I26" s="54"/>
      <c r="J26" t="s">
        <v>241</v>
      </c>
    </row>
    <row r="27" spans="1:10" ht="15">
      <c r="A27" s="13"/>
      <c r="B27" s="51" t="s">
        <v>0</v>
      </c>
      <c r="C27" s="41" t="s">
        <v>59</v>
      </c>
      <c r="D27" s="44" t="s">
        <v>253</v>
      </c>
      <c r="E27" s="44" t="s">
        <v>41</v>
      </c>
      <c r="F27" s="44" t="s">
        <v>44</v>
      </c>
      <c r="G27" s="79" t="s">
        <v>45</v>
      </c>
      <c r="H27" s="54"/>
      <c r="I27" s="54"/>
      <c r="J27" t="s">
        <v>242</v>
      </c>
    </row>
    <row r="28" spans="1:10" ht="15">
      <c r="A28" s="42"/>
      <c r="B28" s="43" t="s">
        <v>36</v>
      </c>
      <c r="C28" s="43" t="s">
        <v>36</v>
      </c>
      <c r="D28" s="44" t="s">
        <v>40</v>
      </c>
      <c r="E28" s="44" t="s">
        <v>42</v>
      </c>
      <c r="F28" s="44" t="s">
        <v>39</v>
      </c>
      <c r="G28" s="79" t="s">
        <v>46</v>
      </c>
      <c r="H28" s="54"/>
      <c r="I28" s="54"/>
      <c r="J28" t="s">
        <v>243</v>
      </c>
    </row>
    <row r="29" spans="1:10" ht="15">
      <c r="A29" s="13" t="s">
        <v>6</v>
      </c>
      <c r="B29" s="24">
        <v>0</v>
      </c>
      <c r="C29" s="6">
        <v>1000</v>
      </c>
      <c r="D29" s="44">
        <v>1</v>
      </c>
      <c r="E29" s="51">
        <f>IF(B29&gt;0,IF(B35&lt;C35,B36/D35,C36/D35),C36/D35)</f>
        <v>1045.0821266563441</v>
      </c>
      <c r="F29" s="51">
        <f>E29/D43*27.8</f>
        <v>145.854538745334</v>
      </c>
      <c r="G29" s="56">
        <f>IF(F29/D38&lt;E29,F29/D38,E29)</f>
        <v>1045.0821266563441</v>
      </c>
      <c r="H29" s="54" t="s">
        <v>52</v>
      </c>
      <c r="I29" s="54"/>
      <c r="J29" t="s">
        <v>244</v>
      </c>
    </row>
    <row r="30" spans="1:10" ht="15">
      <c r="A30" s="13" t="s">
        <v>7</v>
      </c>
      <c r="B30" s="25">
        <v>7.3</v>
      </c>
      <c r="C30" s="11">
        <v>7.2</v>
      </c>
      <c r="D30" s="64">
        <v>7.2</v>
      </c>
      <c r="E30" s="13"/>
      <c r="F30" s="13"/>
      <c r="G30" s="57">
        <f>G29*D35</f>
        <v>532.9619200000001</v>
      </c>
      <c r="H30" s="54" t="s">
        <v>53</v>
      </c>
      <c r="I30" s="54"/>
      <c r="J30" t="s">
        <v>248</v>
      </c>
    </row>
    <row r="31" spans="1:10" ht="15">
      <c r="A31" s="13" t="s">
        <v>8</v>
      </c>
      <c r="B31" s="25">
        <v>32</v>
      </c>
      <c r="C31" s="11">
        <v>32</v>
      </c>
      <c r="D31" s="28">
        <v>32</v>
      </c>
      <c r="E31" s="13"/>
      <c r="F31" s="13"/>
      <c r="G31" s="57">
        <f>G29*D38</f>
        <v>142.63105352283927</v>
      </c>
      <c r="H31" s="54" t="s">
        <v>54</v>
      </c>
      <c r="I31" s="54"/>
      <c r="J31" t="s">
        <v>251</v>
      </c>
    </row>
    <row r="32" spans="1:10" ht="15">
      <c r="A32" s="13" t="s">
        <v>11</v>
      </c>
      <c r="B32" s="25">
        <v>161</v>
      </c>
      <c r="C32" s="67" t="s">
        <v>57</v>
      </c>
      <c r="D32" s="68" t="s">
        <v>58</v>
      </c>
      <c r="E32" s="13"/>
      <c r="F32" s="13"/>
      <c r="G32" s="57">
        <f>G29*D37</f>
        <v>142.10859545132706</v>
      </c>
      <c r="H32" s="54" t="s">
        <v>55</v>
      </c>
      <c r="I32" s="54"/>
      <c r="J32" t="s">
        <v>245</v>
      </c>
    </row>
    <row r="33" spans="1:10" ht="15">
      <c r="A33" s="13" t="s">
        <v>12</v>
      </c>
      <c r="B33" s="26">
        <v>5.3</v>
      </c>
      <c r="C33" s="69" t="s">
        <v>56</v>
      </c>
      <c r="D33" s="68" t="s">
        <v>56</v>
      </c>
      <c r="E33" s="13"/>
      <c r="F33" s="13"/>
      <c r="G33" s="76">
        <f>G29/D43</f>
        <v>5.246566141918489</v>
      </c>
      <c r="H33" s="54" t="s">
        <v>60</v>
      </c>
      <c r="I33" s="54"/>
      <c r="J33" t="s">
        <v>246</v>
      </c>
    </row>
    <row r="34" spans="1:10" ht="15">
      <c r="A34" s="13" t="s">
        <v>9</v>
      </c>
      <c r="B34" s="27">
        <v>1.98</v>
      </c>
      <c r="C34" s="70"/>
      <c r="D34" s="71"/>
      <c r="E34" s="45"/>
      <c r="F34" s="13" t="s">
        <v>73</v>
      </c>
      <c r="G34" s="13"/>
      <c r="H34" s="13"/>
      <c r="I34" s="13"/>
      <c r="J34" t="s">
        <v>247</v>
      </c>
    </row>
    <row r="35" spans="1:10" ht="15">
      <c r="A35" s="13" t="s">
        <v>50</v>
      </c>
      <c r="B35" s="46">
        <f>((B31-B30)*B34*B32/6250)-(B31-B30)*0.0304</f>
        <v>0.50893856</v>
      </c>
      <c r="C35" s="46">
        <f>(C31-C30)*(13.67+0.1995*(C31+C30))/1000</f>
        <v>0.5329619200000001</v>
      </c>
      <c r="D35" s="46">
        <f>(D31-D30)*(13.77+0.1733*(D31+D30))/1000</f>
        <v>0.509971328</v>
      </c>
      <c r="E35" s="13"/>
      <c r="F35" s="13" t="s">
        <v>71</v>
      </c>
      <c r="G35" s="13"/>
      <c r="H35" s="13"/>
      <c r="I35" s="13"/>
      <c r="J35" t="s">
        <v>249</v>
      </c>
    </row>
    <row r="36" spans="1:10" ht="15">
      <c r="A36" s="13" t="s">
        <v>5</v>
      </c>
      <c r="B36" s="47">
        <f>B29*B35</f>
        <v>0</v>
      </c>
      <c r="C36" s="48">
        <f>C29*C35</f>
        <v>532.9619200000001</v>
      </c>
      <c r="D36" s="46">
        <f>D29*D35</f>
        <v>0.509971328</v>
      </c>
      <c r="E36" s="49"/>
      <c r="F36" s="13" t="s">
        <v>72</v>
      </c>
      <c r="G36" s="13"/>
      <c r="H36" s="13"/>
      <c r="I36" s="13"/>
      <c r="J36" t="s">
        <v>250</v>
      </c>
    </row>
    <row r="37" spans="1:9" ht="15">
      <c r="A37" s="13" t="s">
        <v>13</v>
      </c>
      <c r="B37" s="46">
        <f>((B31-B30)*B34*B33/1000)-(B31-B30)*0.0049</f>
        <v>0.13817179999999998</v>
      </c>
      <c r="C37" s="46"/>
      <c r="D37" s="163">
        <f>(D31-D30)*(4.405+0.0275*(D31+D30))/1000</f>
        <v>0.13597840000000003</v>
      </c>
      <c r="E37" s="157" t="s">
        <v>282</v>
      </c>
      <c r="F37" s="87"/>
      <c r="G37" s="158"/>
      <c r="H37" s="87"/>
      <c r="I37" s="160">
        <v>50</v>
      </c>
    </row>
    <row r="38" spans="1:9" ht="15">
      <c r="A38" s="13" t="s">
        <v>256</v>
      </c>
      <c r="B38" s="46"/>
      <c r="C38" s="46"/>
      <c r="D38" s="161">
        <f>(136*I37/100+137*I38/100+137*I39/100+144*I40/100)/136*D37</f>
        <v>0.1364783205882353</v>
      </c>
      <c r="E38" s="87" t="s">
        <v>283</v>
      </c>
      <c r="F38" s="87"/>
      <c r="G38" s="87"/>
      <c r="H38" s="87"/>
      <c r="I38" s="160">
        <v>50</v>
      </c>
    </row>
    <row r="39" spans="1:10" ht="15">
      <c r="A39" s="13" t="s">
        <v>14</v>
      </c>
      <c r="B39" s="130">
        <f>B29*B37</f>
        <v>0</v>
      </c>
      <c r="C39" s="48"/>
      <c r="D39" s="49"/>
      <c r="E39" s="157" t="s">
        <v>286</v>
      </c>
      <c r="F39" s="87"/>
      <c r="G39" s="87"/>
      <c r="H39" s="87"/>
      <c r="I39" s="160">
        <v>0</v>
      </c>
      <c r="J39" s="87" t="s">
        <v>287</v>
      </c>
    </row>
    <row r="40" spans="1:11" ht="15">
      <c r="A40" s="13" t="s">
        <v>16</v>
      </c>
      <c r="B40" s="50">
        <f>(B31-B30)/4940</f>
        <v>0.005</v>
      </c>
      <c r="C40" s="50">
        <f>(C31-C30)/4940</f>
        <v>0.005020242914979757</v>
      </c>
      <c r="D40" s="50">
        <f>(D31-D30)/4940</f>
        <v>0.005020242914979757</v>
      </c>
      <c r="E40" s="157" t="s">
        <v>285</v>
      </c>
      <c r="F40" s="87"/>
      <c r="G40" s="87"/>
      <c r="H40" s="87"/>
      <c r="I40" s="160">
        <v>0</v>
      </c>
      <c r="J40" s="158">
        <f>I37+I38+I39+I40</f>
        <v>100</v>
      </c>
      <c r="K40" t="s">
        <v>288</v>
      </c>
    </row>
    <row r="41" spans="1:9" ht="15">
      <c r="A41" s="13" t="s">
        <v>31</v>
      </c>
      <c r="B41" s="51">
        <f>B37/B40</f>
        <v>27.634359999999997</v>
      </c>
      <c r="C41" s="51">
        <f>C37/C40</f>
        <v>0</v>
      </c>
      <c r="D41" s="51">
        <f>D37/D40</f>
        <v>27.086020000000005</v>
      </c>
      <c r="E41" s="59" t="s">
        <v>307</v>
      </c>
      <c r="F41" s="54"/>
      <c r="G41" s="54"/>
      <c r="H41" s="54"/>
      <c r="I41" s="58">
        <f>D38/D40</f>
        <v>27.185600955882354</v>
      </c>
    </row>
    <row r="42" spans="1:9" ht="15">
      <c r="A42" s="13" t="s">
        <v>26</v>
      </c>
      <c r="B42" s="51">
        <f>B29*B40</f>
        <v>0</v>
      </c>
      <c r="C42" s="51">
        <f>C29*C40</f>
        <v>5.020242914979757</v>
      </c>
      <c r="D42" s="13"/>
      <c r="E42" s="54" t="s">
        <v>255</v>
      </c>
      <c r="F42" s="54"/>
      <c r="G42" s="53"/>
      <c r="H42" s="54"/>
      <c r="I42" s="54"/>
    </row>
    <row r="43" spans="1:9" ht="15">
      <c r="A43" s="13" t="s">
        <v>257</v>
      </c>
      <c r="B43" s="52">
        <f>1/B40</f>
        <v>200</v>
      </c>
      <c r="C43" s="52">
        <f>1/C40</f>
        <v>199.19354838709677</v>
      </c>
      <c r="D43" s="52">
        <f>1/D40</f>
        <v>199.19354838709677</v>
      </c>
      <c r="E43" s="54" t="s">
        <v>75</v>
      </c>
      <c r="F43" s="54"/>
      <c r="G43" s="54"/>
      <c r="H43" s="54"/>
      <c r="I43" s="54"/>
    </row>
    <row r="44" spans="2:3" ht="15">
      <c r="B44" s="2"/>
      <c r="C44" s="2"/>
    </row>
    <row r="45" spans="1:10" ht="15">
      <c r="A45" s="20" t="s">
        <v>20</v>
      </c>
      <c r="B45" s="21"/>
      <c r="C45" s="21"/>
      <c r="D45" s="21"/>
      <c r="E45" s="21"/>
      <c r="F45" s="21"/>
      <c r="G45" s="21"/>
      <c r="H45" s="21"/>
      <c r="I45" s="21"/>
      <c r="J45" s="82" t="s">
        <v>268</v>
      </c>
    </row>
    <row r="46" spans="1:10" ht="15">
      <c r="A46" s="21" t="s">
        <v>33</v>
      </c>
      <c r="B46" s="21"/>
      <c r="C46" s="21"/>
      <c r="D46" s="21"/>
      <c r="E46" s="21"/>
      <c r="F46" s="21"/>
      <c r="G46" s="21"/>
      <c r="H46" s="21"/>
      <c r="I46" s="21"/>
      <c r="J46" t="s">
        <v>261</v>
      </c>
    </row>
    <row r="47" spans="1:10" ht="15">
      <c r="A47" s="21"/>
      <c r="B47" s="31"/>
      <c r="C47" s="31"/>
      <c r="D47" s="30" t="s">
        <v>34</v>
      </c>
      <c r="E47" s="30" t="s">
        <v>38</v>
      </c>
      <c r="F47" s="30" t="s">
        <v>43</v>
      </c>
      <c r="G47" s="78" t="s">
        <v>62</v>
      </c>
      <c r="H47" s="5"/>
      <c r="I47" s="5"/>
      <c r="J47" t="s">
        <v>262</v>
      </c>
    </row>
    <row r="48" spans="1:9" ht="15">
      <c r="A48" s="21"/>
      <c r="B48" s="33" t="s">
        <v>0</v>
      </c>
      <c r="C48" s="31" t="s">
        <v>59</v>
      </c>
      <c r="D48" s="30" t="s">
        <v>253</v>
      </c>
      <c r="E48" s="30" t="s">
        <v>41</v>
      </c>
      <c r="F48" s="30" t="s">
        <v>258</v>
      </c>
      <c r="G48" s="78" t="s">
        <v>45</v>
      </c>
      <c r="H48" s="5"/>
      <c r="I48" s="5"/>
    </row>
    <row r="49" spans="1:10" ht="15">
      <c r="A49" s="21"/>
      <c r="B49" s="29" t="s">
        <v>36</v>
      </c>
      <c r="C49" s="29" t="s">
        <v>36</v>
      </c>
      <c r="D49" s="30" t="s">
        <v>40</v>
      </c>
      <c r="E49" s="30" t="s">
        <v>42</v>
      </c>
      <c r="F49" s="30" t="s">
        <v>259</v>
      </c>
      <c r="G49" s="78" t="s">
        <v>46</v>
      </c>
      <c r="H49" s="5"/>
      <c r="I49" s="5"/>
      <c r="J49" t="s">
        <v>263</v>
      </c>
    </row>
    <row r="50" spans="1:10" ht="15">
      <c r="A50" s="21" t="s">
        <v>17</v>
      </c>
      <c r="B50" s="24">
        <v>0</v>
      </c>
      <c r="C50" s="6">
        <v>1000</v>
      </c>
      <c r="D50" s="30">
        <v>1</v>
      </c>
      <c r="E50" s="33">
        <f>IF(B50&gt;0,IF(B57&lt;C57,B58/D57,C58/D57),C58/D57)</f>
        <v>1093.553133097544</v>
      </c>
      <c r="F50" s="33">
        <f>E50/D65*30/1.4</f>
        <v>650.7571274683582</v>
      </c>
      <c r="G50" s="19">
        <f>IF(F50/D60&lt;E50,F50/D60,E50)</f>
        <v>1052.8984056035324</v>
      </c>
      <c r="H50" s="5" t="s">
        <v>52</v>
      </c>
      <c r="I50" s="5"/>
      <c r="J50" t="s">
        <v>264</v>
      </c>
    </row>
    <row r="51" spans="1:9" ht="15">
      <c r="A51" s="21" t="s">
        <v>7</v>
      </c>
      <c r="B51" s="25">
        <v>32</v>
      </c>
      <c r="C51" s="11">
        <v>32</v>
      </c>
      <c r="D51" s="64">
        <v>32</v>
      </c>
      <c r="E51" s="21"/>
      <c r="F51" s="21"/>
      <c r="G51" s="18">
        <f>G50*D57</f>
        <v>2989.6023651166843</v>
      </c>
      <c r="H51" s="5" t="s">
        <v>53</v>
      </c>
      <c r="I51" s="5"/>
    </row>
    <row r="52" spans="1:10" ht="15">
      <c r="A52" s="21" t="s">
        <v>32</v>
      </c>
      <c r="B52" s="62">
        <f>B53/1.31</f>
        <v>81.6793893129771</v>
      </c>
      <c r="C52" s="62">
        <f>C53/1.31</f>
        <v>81.6793893129771</v>
      </c>
      <c r="D52" s="32">
        <f>D53/1.31</f>
        <v>81.6793893129771</v>
      </c>
      <c r="E52" s="21"/>
      <c r="F52" s="21"/>
      <c r="G52" s="18">
        <f>G50*D60</f>
        <v>650.7571274683582</v>
      </c>
      <c r="H52" s="5" t="s">
        <v>54</v>
      </c>
      <c r="I52" s="5"/>
      <c r="J52" t="s">
        <v>265</v>
      </c>
    </row>
    <row r="53" spans="1:10" ht="15">
      <c r="A53" s="21" t="s">
        <v>19</v>
      </c>
      <c r="B53" s="25">
        <v>107</v>
      </c>
      <c r="C53" s="11">
        <v>107</v>
      </c>
      <c r="D53" s="28">
        <v>107</v>
      </c>
      <c r="E53" s="21"/>
      <c r="F53" s="21"/>
      <c r="G53" s="18">
        <f>G50*D59</f>
        <v>649.7041224077298</v>
      </c>
      <c r="H53" s="5" t="s">
        <v>55</v>
      </c>
      <c r="I53" s="5"/>
      <c r="J53" t="s">
        <v>266</v>
      </c>
    </row>
    <row r="54" spans="1:10" ht="15">
      <c r="A54" s="21" t="s">
        <v>11</v>
      </c>
      <c r="B54" s="25">
        <v>150</v>
      </c>
      <c r="C54" s="72" t="s">
        <v>57</v>
      </c>
      <c r="D54" s="73" t="s">
        <v>58</v>
      </c>
      <c r="E54" s="21"/>
      <c r="F54" s="21"/>
      <c r="G54" s="77">
        <f>G50/D65</f>
        <v>29.239658311741486</v>
      </c>
      <c r="H54" s="5" t="s">
        <v>60</v>
      </c>
      <c r="I54" s="5"/>
      <c r="J54" t="s">
        <v>267</v>
      </c>
    </row>
    <row r="55" spans="1:9" ht="15">
      <c r="A55" s="21" t="s">
        <v>12</v>
      </c>
      <c r="B55" s="26">
        <v>4.6</v>
      </c>
      <c r="C55" s="74" t="s">
        <v>56</v>
      </c>
      <c r="D55" s="73" t="s">
        <v>56</v>
      </c>
      <c r="E55" s="21"/>
      <c r="F55" s="21" t="s">
        <v>73</v>
      </c>
      <c r="G55" s="21"/>
      <c r="H55" s="21"/>
      <c r="I55" s="21"/>
    </row>
    <row r="56" spans="1:9" ht="15">
      <c r="A56" s="21" t="s">
        <v>9</v>
      </c>
      <c r="B56" s="27">
        <v>2.87</v>
      </c>
      <c r="C56" s="75"/>
      <c r="D56" s="65"/>
      <c r="E56" s="38"/>
      <c r="F56" s="21" t="s">
        <v>71</v>
      </c>
      <c r="G56" s="21"/>
      <c r="H56" s="21"/>
      <c r="I56" s="21"/>
    </row>
    <row r="57" spans="1:9" ht="15">
      <c r="A57" s="21" t="s">
        <v>10</v>
      </c>
      <c r="B57" s="34">
        <f>((B53-B51)*B56*B54/6250)-(B53-B51)*0.0296</f>
        <v>2.946</v>
      </c>
      <c r="C57" s="34">
        <f>(C53-C51)*(13.67+0.1995*(C53+C51))/1000</f>
        <v>3.1050375</v>
      </c>
      <c r="D57" s="34">
        <f>(D53-D51)*(13.77+0.1733*(D53+D51))/1000</f>
        <v>2.8394025000000003</v>
      </c>
      <c r="E57" s="21"/>
      <c r="F57" s="21" t="s">
        <v>72</v>
      </c>
      <c r="G57" s="21"/>
      <c r="H57" s="21"/>
      <c r="I57" s="21"/>
    </row>
    <row r="58" spans="1:10" ht="15">
      <c r="A58" s="21" t="s">
        <v>5</v>
      </c>
      <c r="B58" s="39">
        <f>B50*B57</f>
        <v>0</v>
      </c>
      <c r="C58" s="36">
        <f>C50*C57</f>
        <v>3105.0375</v>
      </c>
      <c r="D58" s="34">
        <f>D50*D57</f>
        <v>2.8394025000000003</v>
      </c>
      <c r="E58" s="157" t="s">
        <v>282</v>
      </c>
      <c r="F58" s="87"/>
      <c r="G58" s="158"/>
      <c r="H58" s="87"/>
      <c r="I58" s="160">
        <v>50</v>
      </c>
      <c r="J58" t="s">
        <v>289</v>
      </c>
    </row>
    <row r="59" spans="1:10" ht="15">
      <c r="A59" s="21" t="s">
        <v>13</v>
      </c>
      <c r="B59" s="34">
        <f>((B53-B51)*B56*B55/1000)-(B53-B51)*0.0055</f>
        <v>0.57765</v>
      </c>
      <c r="C59" s="34"/>
      <c r="D59" s="37">
        <f>(D53-D51)*(4.405+0.0275*(D53+D51))/1000</f>
        <v>0.6170625000000001</v>
      </c>
      <c r="E59" s="87" t="s">
        <v>283</v>
      </c>
      <c r="F59" s="87"/>
      <c r="G59" s="87"/>
      <c r="H59" s="87"/>
      <c r="I59" s="160">
        <v>50</v>
      </c>
      <c r="J59" t="s">
        <v>290</v>
      </c>
    </row>
    <row r="60" spans="1:9" ht="15">
      <c r="A60" s="21" t="s">
        <v>256</v>
      </c>
      <c r="B60" s="34"/>
      <c r="C60" s="34"/>
      <c r="D60" s="162">
        <f>(I58/100*617+619*I59/100+625*I60/100+638*I61/100+658*I62/100)/617*D59</f>
        <v>0.6180626012965965</v>
      </c>
      <c r="E60" s="157" t="s">
        <v>286</v>
      </c>
      <c r="F60" s="87"/>
      <c r="G60" s="87"/>
      <c r="H60" s="87"/>
      <c r="I60" s="160">
        <v>0</v>
      </c>
    </row>
    <row r="61" spans="1:10" ht="15">
      <c r="A61" s="21" t="s">
        <v>14</v>
      </c>
      <c r="B61" s="129">
        <f>B50*B59</f>
        <v>0</v>
      </c>
      <c r="C61" s="36"/>
      <c r="D61" s="22"/>
      <c r="E61" s="157" t="s">
        <v>284</v>
      </c>
      <c r="F61" s="87"/>
      <c r="G61" s="87"/>
      <c r="H61" s="87"/>
      <c r="I61" s="160">
        <v>0</v>
      </c>
      <c r="J61" s="87" t="s">
        <v>287</v>
      </c>
    </row>
    <row r="62" spans="1:11" ht="15">
      <c r="A62" s="21" t="s">
        <v>16</v>
      </c>
      <c r="B62" s="37">
        <f>(40-B51)/4940+(87-40)/2910+(B53-87)/2000</f>
        <v>0.02777063594752146</v>
      </c>
      <c r="C62" s="37">
        <f>(40-C51)/4940+(87-40)/2910+(C53-87)/2000</f>
        <v>0.02777063594752146</v>
      </c>
      <c r="D62" s="37">
        <f>(40-D51)/4940+(87-40)/2910+(D53-87)/2000</f>
        <v>0.02777063594752146</v>
      </c>
      <c r="E62" s="159" t="s">
        <v>285</v>
      </c>
      <c r="F62" s="87"/>
      <c r="G62" s="87"/>
      <c r="H62" s="87"/>
      <c r="I62" s="160">
        <v>0</v>
      </c>
      <c r="J62" s="158">
        <f>I58+I59+I60+I61+I62</f>
        <v>100</v>
      </c>
      <c r="K62" t="s">
        <v>288</v>
      </c>
    </row>
    <row r="63" spans="1:9" ht="15">
      <c r="A63" s="21" t="s">
        <v>31</v>
      </c>
      <c r="B63" s="33">
        <f>B59/B62</f>
        <v>20.800747994809804</v>
      </c>
      <c r="C63" s="33">
        <f>C59/C62</f>
        <v>0</v>
      </c>
      <c r="D63" s="33">
        <f>D59/D62</f>
        <v>22.21996288331572</v>
      </c>
      <c r="E63" s="60" t="s">
        <v>260</v>
      </c>
      <c r="F63" s="5"/>
      <c r="G63" s="5"/>
      <c r="H63" s="5"/>
      <c r="I63" s="61">
        <f>D60/D62</f>
        <v>22.25597578912336</v>
      </c>
    </row>
    <row r="64" spans="1:9" ht="15">
      <c r="A64" s="21" t="s">
        <v>27</v>
      </c>
      <c r="B64" s="33">
        <f>B50*B62</f>
        <v>0</v>
      </c>
      <c r="C64" s="33">
        <f>C50*C62</f>
        <v>27.77063594752146</v>
      </c>
      <c r="D64" s="21"/>
      <c r="E64" s="5" t="s">
        <v>255</v>
      </c>
      <c r="F64" s="5"/>
      <c r="G64" s="61"/>
      <c r="H64" s="5"/>
      <c r="I64" s="5"/>
    </row>
    <row r="65" spans="1:9" ht="15">
      <c r="A65" s="21" t="s">
        <v>18</v>
      </c>
      <c r="B65" s="33">
        <f>1/B62</f>
        <v>36.009258192347964</v>
      </c>
      <c r="C65" s="33">
        <f>1/C62</f>
        <v>36.009258192347964</v>
      </c>
      <c r="D65" s="33">
        <f>1/D62</f>
        <v>36.009258192347964</v>
      </c>
      <c r="E65" s="5"/>
      <c r="F65" s="5"/>
      <c r="G65" s="5"/>
      <c r="H65" s="5"/>
      <c r="I65" s="5"/>
    </row>
    <row r="66" spans="2:3" ht="15">
      <c r="B66" s="8"/>
      <c r="C66" s="8"/>
    </row>
    <row r="67" spans="2:3" ht="15">
      <c r="B67" s="8"/>
      <c r="C67" s="8"/>
    </row>
    <row r="68" spans="1:8" ht="15">
      <c r="A68" s="10" t="s">
        <v>301</v>
      </c>
      <c r="B68" s="4"/>
      <c r="C68" s="4"/>
      <c r="D68" s="4"/>
      <c r="E68" s="4"/>
      <c r="F68" s="4"/>
      <c r="G68" s="4"/>
      <c r="H68" s="4"/>
    </row>
    <row r="69" spans="1:8" ht="15">
      <c r="A69" s="10"/>
      <c r="B69" s="4"/>
      <c r="C69" s="4"/>
      <c r="D69" s="4"/>
      <c r="E69" s="4"/>
      <c r="F69" s="4"/>
      <c r="G69" s="4"/>
      <c r="H69" s="4"/>
    </row>
    <row r="70" spans="1:8" ht="15">
      <c r="A70" s="21" t="s">
        <v>292</v>
      </c>
      <c r="B70" s="4" t="s">
        <v>303</v>
      </c>
      <c r="C70" s="4" t="s">
        <v>293</v>
      </c>
      <c r="D70" s="4"/>
      <c r="E70" s="4" t="s">
        <v>291</v>
      </c>
      <c r="F70" s="4"/>
      <c r="G70" s="4"/>
      <c r="H70" s="4" t="s">
        <v>293</v>
      </c>
    </row>
    <row r="71" spans="1:9" ht="15">
      <c r="A71" s="15" t="s">
        <v>297</v>
      </c>
      <c r="B71" s="164">
        <v>20</v>
      </c>
      <c r="C71" s="166">
        <v>3.9</v>
      </c>
      <c r="D71" s="4"/>
      <c r="E71" s="15" t="s">
        <v>102</v>
      </c>
      <c r="F71" s="15"/>
      <c r="G71" s="160">
        <v>50</v>
      </c>
      <c r="H71" s="167">
        <v>1.672</v>
      </c>
      <c r="I71" s="15"/>
    </row>
    <row r="72" spans="1:9" ht="15">
      <c r="A72" s="15" t="s">
        <v>298</v>
      </c>
      <c r="B72" s="164">
        <v>0</v>
      </c>
      <c r="C72" s="166">
        <v>3.9</v>
      </c>
      <c r="D72" s="4"/>
      <c r="E72" s="15" t="s">
        <v>103</v>
      </c>
      <c r="F72" s="15"/>
      <c r="G72" s="160">
        <v>50</v>
      </c>
      <c r="H72" s="167">
        <v>1.672</v>
      </c>
      <c r="I72" s="15"/>
    </row>
    <row r="73" spans="1:9" ht="15">
      <c r="A73" s="15" t="s">
        <v>299</v>
      </c>
      <c r="B73" s="164">
        <v>0</v>
      </c>
      <c r="C73" s="166">
        <v>3.935</v>
      </c>
      <c r="D73" s="4"/>
      <c r="E73" s="15" t="s">
        <v>300</v>
      </c>
      <c r="F73" s="15"/>
      <c r="G73" s="160">
        <v>0</v>
      </c>
      <c r="H73" s="167">
        <v>1.83</v>
      </c>
      <c r="I73" s="15"/>
    </row>
    <row r="74" spans="1:9" ht="15">
      <c r="A74" s="15" t="s">
        <v>132</v>
      </c>
      <c r="B74" s="164">
        <v>0</v>
      </c>
      <c r="C74" s="166">
        <v>4.062</v>
      </c>
      <c r="D74" s="12"/>
      <c r="E74" s="15" t="s">
        <v>304</v>
      </c>
      <c r="F74" s="15"/>
      <c r="G74" s="12">
        <f>SUM(G71:G73)</f>
        <v>100</v>
      </c>
      <c r="H74" s="168">
        <f>(G71*H71+G72*H72+G73*H73)/100</f>
        <v>1.672</v>
      </c>
      <c r="I74" s="15" t="s">
        <v>302</v>
      </c>
    </row>
    <row r="75" spans="1:8" ht="15">
      <c r="A75" s="15" t="s">
        <v>133</v>
      </c>
      <c r="B75" s="164">
        <v>0</v>
      </c>
      <c r="C75" s="166">
        <v>4.062</v>
      </c>
      <c r="D75" s="12"/>
      <c r="E75" s="4"/>
      <c r="F75" s="4"/>
      <c r="G75" s="12" t="s">
        <v>288</v>
      </c>
      <c r="H75" s="4"/>
    </row>
    <row r="76" spans="1:8" ht="15">
      <c r="A76" s="15" t="s">
        <v>134</v>
      </c>
      <c r="B76" s="164">
        <v>0</v>
      </c>
      <c r="C76" s="166">
        <v>4.316</v>
      </c>
      <c r="D76" s="4"/>
      <c r="E76" s="4"/>
      <c r="F76" s="4"/>
      <c r="G76" s="4"/>
      <c r="H76" s="4"/>
    </row>
    <row r="77" spans="1:8" ht="15">
      <c r="A77" s="15" t="s">
        <v>135</v>
      </c>
      <c r="B77" s="164">
        <v>80</v>
      </c>
      <c r="C77" s="166">
        <v>3.923</v>
      </c>
      <c r="D77" s="4"/>
      <c r="E77" s="4" t="s">
        <v>294</v>
      </c>
      <c r="F77" s="4"/>
      <c r="G77" s="4"/>
      <c r="H77" s="4"/>
    </row>
    <row r="78" spans="1:6" ht="15">
      <c r="A78" s="15" t="s">
        <v>305</v>
      </c>
      <c r="B78" s="165">
        <f>SUM(B71:B77)</f>
        <v>100</v>
      </c>
      <c r="C78" s="168">
        <f>(B71*C71+B72*C72+B73*C73+B74*C74+B75*C75+B76*C76+B77*C77)/100</f>
        <v>3.9184</v>
      </c>
      <c r="E78" s="169">
        <f>C78+H74</f>
        <v>5.5904</v>
      </c>
      <c r="F78" s="82" t="s">
        <v>295</v>
      </c>
    </row>
    <row r="79" ht="15">
      <c r="B79" s="12" t="s">
        <v>288</v>
      </c>
    </row>
    <row r="80" ht="15">
      <c r="B80" s="4"/>
    </row>
  </sheetData>
  <sheetProtection password="DC48" sheet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22">
      <selection activeCell="K27" sqref="K27"/>
    </sheetView>
  </sheetViews>
  <sheetFormatPr defaultColWidth="9.140625" defaultRowHeight="15"/>
  <cols>
    <col min="1" max="1" width="29.57421875" style="0" customWidth="1"/>
    <col min="2" max="2" width="12.421875" style="0" customWidth="1"/>
    <col min="3" max="3" width="13.8515625" style="0" customWidth="1"/>
  </cols>
  <sheetData>
    <row r="1" ht="21">
      <c r="A1" s="63" t="s">
        <v>35</v>
      </c>
    </row>
    <row r="2" spans="1:11" ht="15">
      <c r="A2" s="82" t="s">
        <v>275</v>
      </c>
      <c r="G2" s="148" t="s">
        <v>238</v>
      </c>
      <c r="H2" s="148"/>
      <c r="I2" s="148"/>
      <c r="K2">
        <v>1</v>
      </c>
    </row>
    <row r="3" spans="1:9" ht="15">
      <c r="A3" s="3" t="s">
        <v>48</v>
      </c>
      <c r="B3" s="3"/>
      <c r="C3" s="3"/>
      <c r="D3" s="3"/>
      <c r="E3" s="3"/>
      <c r="F3" s="3"/>
      <c r="G3" s="148" t="s">
        <v>281</v>
      </c>
      <c r="H3" s="148"/>
      <c r="I3" s="148"/>
    </row>
    <row r="4" spans="1:10" ht="15">
      <c r="A4" s="23" t="s">
        <v>148</v>
      </c>
      <c r="B4" s="23"/>
      <c r="C4" s="23"/>
      <c r="D4" s="23"/>
      <c r="E4" s="23"/>
      <c r="F4" s="23"/>
      <c r="G4" s="23"/>
      <c r="H4" s="23"/>
      <c r="I4" s="23"/>
      <c r="J4" s="82" t="s">
        <v>191</v>
      </c>
    </row>
    <row r="5" spans="1:10" ht="15">
      <c r="A5" s="23" t="s">
        <v>74</v>
      </c>
      <c r="B5" s="23"/>
      <c r="C5" s="23"/>
      <c r="D5" s="23"/>
      <c r="E5" s="23"/>
      <c r="F5" s="23"/>
      <c r="G5" s="23"/>
      <c r="H5" s="23"/>
      <c r="I5" s="23"/>
      <c r="J5" t="s">
        <v>195</v>
      </c>
    </row>
    <row r="6" spans="1:10" ht="15">
      <c r="A6" s="156" t="s">
        <v>276</v>
      </c>
      <c r="B6" s="4"/>
      <c r="C6" s="4"/>
      <c r="D6" s="4"/>
      <c r="E6" s="4"/>
      <c r="F6" s="4"/>
      <c r="G6" s="4"/>
      <c r="H6" s="4"/>
      <c r="I6" s="4"/>
      <c r="J6" t="s">
        <v>198</v>
      </c>
    </row>
    <row r="7" spans="1:10" ht="15">
      <c r="A7" s="20" t="s">
        <v>29</v>
      </c>
      <c r="B7" s="21"/>
      <c r="C7" s="21"/>
      <c r="D7" s="30" t="s">
        <v>34</v>
      </c>
      <c r="E7" s="30" t="s">
        <v>68</v>
      </c>
      <c r="F7" s="30" t="s">
        <v>61</v>
      </c>
      <c r="G7" s="14" t="s">
        <v>63</v>
      </c>
      <c r="H7" s="15"/>
      <c r="I7" s="15"/>
      <c r="J7" t="s">
        <v>192</v>
      </c>
    </row>
    <row r="8" spans="1:10" ht="15">
      <c r="A8" s="21"/>
      <c r="B8" s="30" t="s">
        <v>0</v>
      </c>
      <c r="C8" s="21" t="s">
        <v>77</v>
      </c>
      <c r="D8" s="30" t="s">
        <v>253</v>
      </c>
      <c r="E8" s="30" t="s">
        <v>41</v>
      </c>
      <c r="F8" s="30" t="s">
        <v>44</v>
      </c>
      <c r="G8" s="14" t="s">
        <v>45</v>
      </c>
      <c r="H8" s="15"/>
      <c r="I8" s="15"/>
      <c r="J8" t="s">
        <v>193</v>
      </c>
    </row>
    <row r="9" spans="1:10" ht="15">
      <c r="A9" s="20"/>
      <c r="B9" s="29" t="s">
        <v>36</v>
      </c>
      <c r="C9" s="29" t="s">
        <v>37</v>
      </c>
      <c r="D9" s="30" t="s">
        <v>40</v>
      </c>
      <c r="E9" s="30" t="s">
        <v>42</v>
      </c>
      <c r="F9" s="30" t="s">
        <v>39</v>
      </c>
      <c r="G9" s="14" t="s">
        <v>46</v>
      </c>
      <c r="H9" s="15"/>
      <c r="I9" s="15"/>
      <c r="J9" t="s">
        <v>194</v>
      </c>
    </row>
    <row r="10" spans="1:9" ht="15">
      <c r="A10" s="21" t="s">
        <v>47</v>
      </c>
      <c r="B10" s="24">
        <v>0</v>
      </c>
      <c r="C10" s="6">
        <v>100</v>
      </c>
      <c r="D10" s="65">
        <v>1</v>
      </c>
      <c r="E10" s="33">
        <f>IF(B10&gt;0,IF(B16&lt;C16,B17/D16,C17/D16),C17/D16)</f>
        <v>101.59273865414711</v>
      </c>
      <c r="F10" s="33">
        <f>E10/D24*23</f>
        <v>542.0407731356678</v>
      </c>
      <c r="G10" s="17">
        <f>IF(F10/D19&lt;E10,F10/D19,E10)</f>
        <v>96.96614904036991</v>
      </c>
      <c r="H10" s="15" t="s">
        <v>52</v>
      </c>
      <c r="I10" s="15"/>
    </row>
    <row r="11" spans="1:10" ht="15">
      <c r="A11" s="21" t="s">
        <v>22</v>
      </c>
      <c r="B11" s="24">
        <v>30</v>
      </c>
      <c r="C11" s="65">
        <v>27.2</v>
      </c>
      <c r="D11" s="65">
        <v>28.8</v>
      </c>
      <c r="E11" s="21"/>
      <c r="F11" s="21"/>
      <c r="G11" s="16">
        <f>G10*D16</f>
        <v>2478.454769471855</v>
      </c>
      <c r="H11" s="15" t="s">
        <v>53</v>
      </c>
      <c r="I11" s="15"/>
      <c r="J11" t="s">
        <v>196</v>
      </c>
    </row>
    <row r="12" spans="1:10" ht="15">
      <c r="A12" s="21" t="s">
        <v>1</v>
      </c>
      <c r="B12" s="24">
        <v>7.4</v>
      </c>
      <c r="C12" s="65">
        <v>7.4</v>
      </c>
      <c r="D12" s="65">
        <v>7.2</v>
      </c>
      <c r="E12" s="21"/>
      <c r="F12" s="21"/>
      <c r="G12" s="16">
        <f>G10*D19</f>
        <v>542.0407731356678</v>
      </c>
      <c r="H12" s="15" t="s">
        <v>54</v>
      </c>
      <c r="I12" s="15"/>
      <c r="J12" t="s">
        <v>197</v>
      </c>
    </row>
    <row r="13" spans="1:9" ht="15">
      <c r="A13" s="21" t="s">
        <v>2</v>
      </c>
      <c r="B13" s="25">
        <v>133</v>
      </c>
      <c r="C13" s="62">
        <v>138</v>
      </c>
      <c r="D13" s="65">
        <v>133.4</v>
      </c>
      <c r="E13" s="21"/>
      <c r="F13" s="21"/>
      <c r="G13" s="16">
        <f>G10*D18</f>
        <v>540.1014501548605</v>
      </c>
      <c r="H13" s="15" t="s">
        <v>55</v>
      </c>
      <c r="I13" s="15"/>
    </row>
    <row r="14" spans="1:10" ht="15">
      <c r="A14" s="21" t="s">
        <v>3</v>
      </c>
      <c r="B14" s="26">
        <v>4.7</v>
      </c>
      <c r="C14" s="66">
        <v>4.6</v>
      </c>
      <c r="D14" s="65">
        <v>4.8</v>
      </c>
      <c r="E14" s="21"/>
      <c r="F14" s="21"/>
      <c r="G14" s="17">
        <f>G10/D24</f>
        <v>22.493736346375645</v>
      </c>
      <c r="H14" s="15" t="s">
        <v>60</v>
      </c>
      <c r="I14" s="15"/>
      <c r="J14" t="s">
        <v>199</v>
      </c>
    </row>
    <row r="15" spans="1:10" ht="15">
      <c r="A15" s="21" t="s">
        <v>4</v>
      </c>
      <c r="B15" s="24">
        <v>1520</v>
      </c>
      <c r="C15" s="65">
        <v>1500</v>
      </c>
      <c r="D15" s="65">
        <v>1540</v>
      </c>
      <c r="E15" s="21"/>
      <c r="F15" s="21" t="s">
        <v>73</v>
      </c>
      <c r="G15" s="22"/>
      <c r="H15" s="21"/>
      <c r="I15" s="21"/>
      <c r="J15" t="s">
        <v>200</v>
      </c>
    </row>
    <row r="16" spans="1:9" ht="15">
      <c r="A16" s="21" t="s">
        <v>23</v>
      </c>
      <c r="B16" s="33">
        <f>(B$15*B$13)/6250-1.98-(B$11*B$12*0.0257)</f>
        <v>24.660199999999996</v>
      </c>
      <c r="C16" s="34">
        <f>(C$15*C$13)/6250-1.98-(C$11*C$12*0.0257)</f>
        <v>25.967104</v>
      </c>
      <c r="D16" s="33">
        <v>25.56</v>
      </c>
      <c r="E16" s="21"/>
      <c r="F16" s="21" t="s">
        <v>71</v>
      </c>
      <c r="G16" s="21"/>
      <c r="H16" s="21"/>
      <c r="I16" s="21"/>
    </row>
    <row r="17" spans="1:10" ht="15">
      <c r="A17" s="21" t="s">
        <v>5</v>
      </c>
      <c r="B17" s="39">
        <f>B10*B16</f>
        <v>0</v>
      </c>
      <c r="C17" s="35">
        <f>C10*C16</f>
        <v>2596.7104</v>
      </c>
      <c r="D17" s="33">
        <f>D10*D16</f>
        <v>25.56</v>
      </c>
      <c r="E17" s="22"/>
      <c r="F17" s="21" t="s">
        <v>72</v>
      </c>
      <c r="G17" s="21"/>
      <c r="H17" s="21"/>
      <c r="I17" s="21"/>
      <c r="J17" t="s">
        <v>252</v>
      </c>
    </row>
    <row r="18" spans="1:10" ht="15">
      <c r="A18" s="21" t="s">
        <v>21</v>
      </c>
      <c r="B18" s="33">
        <f>(B$15*B$14)/1000-0.58-(B$11*B$12*0.006)</f>
        <v>5.232</v>
      </c>
      <c r="C18" s="33">
        <f>(C$15*C$14)/1000-0.58-(C$11*C$12*0.006)</f>
        <v>5.1123199999999995</v>
      </c>
      <c r="D18" s="33">
        <v>5.57</v>
      </c>
      <c r="E18" s="21"/>
      <c r="F18" s="21"/>
      <c r="G18" s="21"/>
      <c r="H18" s="21"/>
      <c r="I18" s="21"/>
      <c r="J18" t="s">
        <v>204</v>
      </c>
    </row>
    <row r="19" spans="1:10" ht="15">
      <c r="A19" s="21" t="s">
        <v>49</v>
      </c>
      <c r="B19" s="33"/>
      <c r="C19" s="33"/>
      <c r="D19" s="7">
        <v>5.59</v>
      </c>
      <c r="E19" s="22" t="s">
        <v>70</v>
      </c>
      <c r="F19" s="21"/>
      <c r="G19" s="21"/>
      <c r="H19" s="21"/>
      <c r="I19" s="21"/>
      <c r="J19" t="s">
        <v>201</v>
      </c>
    </row>
    <row r="20" spans="1:10" ht="15">
      <c r="A20" s="21" t="s">
        <v>15</v>
      </c>
      <c r="B20" s="39">
        <f>B10*B18</f>
        <v>0</v>
      </c>
      <c r="C20" s="36">
        <f>C10*C18</f>
        <v>511.23199999999997</v>
      </c>
      <c r="D20" s="35">
        <f>D10*D18</f>
        <v>5.57</v>
      </c>
      <c r="E20" s="22" t="s">
        <v>296</v>
      </c>
      <c r="F20" s="22"/>
      <c r="G20" s="21"/>
      <c r="H20" s="21"/>
      <c r="I20" s="21"/>
      <c r="J20" t="s">
        <v>202</v>
      </c>
    </row>
    <row r="21" spans="1:10" ht="15">
      <c r="A21" s="21" t="s">
        <v>16</v>
      </c>
      <c r="B21" s="37">
        <f>1/4.3+B11*(B12-7.3)/4940</f>
        <v>0.23316542698427645</v>
      </c>
      <c r="C21" s="37">
        <f>1/4.3+C11*(C12-7.3)/4940</f>
        <v>0.23310874682233312</v>
      </c>
      <c r="D21" s="37">
        <f>1/4.3+D11*(D12-7.3)/4940</f>
        <v>0.23197514358346671</v>
      </c>
      <c r="E21" s="21" t="s">
        <v>254</v>
      </c>
      <c r="F21" s="21"/>
      <c r="G21" s="21"/>
      <c r="H21" s="21"/>
      <c r="I21" s="21"/>
      <c r="J21" t="s">
        <v>203</v>
      </c>
    </row>
    <row r="22" spans="1:9" ht="15">
      <c r="A22" s="21" t="s">
        <v>30</v>
      </c>
      <c r="B22" s="33">
        <f>B18/B21</f>
        <v>22.439004219750046</v>
      </c>
      <c r="C22" s="33">
        <f>C18/C21</f>
        <v>21.93105179316339</v>
      </c>
      <c r="D22" s="33">
        <f>D18/D21</f>
        <v>24.011193242330574</v>
      </c>
      <c r="E22" s="60" t="s">
        <v>67</v>
      </c>
      <c r="F22" s="5"/>
      <c r="G22" s="5"/>
      <c r="H22" s="5"/>
      <c r="I22" s="61">
        <f>D19/D21</f>
        <v>24.09740937605528</v>
      </c>
    </row>
    <row r="23" spans="1:9" ht="15">
      <c r="A23" s="21" t="s">
        <v>25</v>
      </c>
      <c r="B23" s="33">
        <f>B10*B21</f>
        <v>0</v>
      </c>
      <c r="C23" s="33">
        <f>C10*C21</f>
        <v>23.31087468223331</v>
      </c>
      <c r="D23" s="33">
        <f>D10*D21</f>
        <v>0.23197514358346671</v>
      </c>
      <c r="E23" s="5" t="s">
        <v>255</v>
      </c>
      <c r="F23" s="5"/>
      <c r="G23" s="61"/>
      <c r="H23" s="5"/>
      <c r="I23" s="5"/>
    </row>
    <row r="24" spans="1:10" ht="15">
      <c r="A24" s="21" t="s">
        <v>24</v>
      </c>
      <c r="B24" s="34">
        <f>1/B21</f>
        <v>4.288800500716752</v>
      </c>
      <c r="C24" s="34">
        <f>1/C21</f>
        <v>4.289843318329719</v>
      </c>
      <c r="D24" s="34">
        <f>1/D21</f>
        <v>4.310806686235291</v>
      </c>
      <c r="E24" s="5" t="s">
        <v>65</v>
      </c>
      <c r="F24" s="5"/>
      <c r="G24" s="5"/>
      <c r="H24" s="5"/>
      <c r="I24" s="5"/>
      <c r="J24" s="82"/>
    </row>
    <row r="25" spans="2:4" ht="15">
      <c r="B25" s="1"/>
      <c r="C25" s="1"/>
      <c r="D25" s="9"/>
    </row>
    <row r="26" spans="1:9" ht="15">
      <c r="A26" s="40" t="s">
        <v>28</v>
      </c>
      <c r="B26" s="41"/>
      <c r="C26" s="41"/>
      <c r="D26" s="44" t="s">
        <v>34</v>
      </c>
      <c r="E26" s="44" t="s">
        <v>38</v>
      </c>
      <c r="F26" s="44" t="s">
        <v>43</v>
      </c>
      <c r="G26" s="79" t="s">
        <v>62</v>
      </c>
      <c r="H26" s="54"/>
      <c r="I26" s="54"/>
    </row>
    <row r="27" spans="1:9" ht="15">
      <c r="A27" s="13"/>
      <c r="B27" s="51" t="s">
        <v>0</v>
      </c>
      <c r="C27" s="41" t="s">
        <v>77</v>
      </c>
      <c r="D27" s="44" t="s">
        <v>253</v>
      </c>
      <c r="E27" s="44" t="s">
        <v>41</v>
      </c>
      <c r="F27" s="44" t="s">
        <v>44</v>
      </c>
      <c r="G27" s="79" t="s">
        <v>45</v>
      </c>
      <c r="H27" s="54"/>
      <c r="I27" s="54"/>
    </row>
    <row r="28" spans="1:9" ht="15">
      <c r="A28" s="42"/>
      <c r="B28" s="43" t="s">
        <v>36</v>
      </c>
      <c r="C28" s="43" t="s">
        <v>36</v>
      </c>
      <c r="D28" s="44" t="s">
        <v>40</v>
      </c>
      <c r="E28" s="44" t="s">
        <v>42</v>
      </c>
      <c r="F28" s="44" t="s">
        <v>39</v>
      </c>
      <c r="G28" s="79" t="s">
        <v>46</v>
      </c>
      <c r="H28" s="54"/>
      <c r="I28" s="54"/>
    </row>
    <row r="29" spans="1:9" ht="15">
      <c r="A29" s="13" t="s">
        <v>6</v>
      </c>
      <c r="B29" s="24">
        <v>0</v>
      </c>
      <c r="C29" s="6">
        <v>100</v>
      </c>
      <c r="D29" s="44">
        <v>1</v>
      </c>
      <c r="E29" s="51">
        <f>IF(B29&gt;0,IF(B35&lt;C35,B36/D35,C36/D35),C36/D35)</f>
        <v>99.39769162865565</v>
      </c>
      <c r="F29" s="51">
        <f>E29/D43*27.8</f>
        <v>13.872215489162015</v>
      </c>
      <c r="G29" s="56">
        <f>IF(F29/D38&lt;E29,F29/D38,E29)</f>
        <v>99.39769162865565</v>
      </c>
      <c r="H29" s="54" t="s">
        <v>52</v>
      </c>
      <c r="I29" s="54"/>
    </row>
    <row r="30" spans="1:9" ht="15">
      <c r="A30" s="13" t="s">
        <v>7</v>
      </c>
      <c r="B30" s="25">
        <v>7.3</v>
      </c>
      <c r="C30" s="11">
        <v>7.4</v>
      </c>
      <c r="D30" s="64">
        <v>7.2</v>
      </c>
      <c r="E30" s="13"/>
      <c r="F30" s="13"/>
      <c r="G30" s="57">
        <f>G29*D35</f>
        <v>50.68997280000001</v>
      </c>
      <c r="H30" s="54" t="s">
        <v>53</v>
      </c>
      <c r="I30" s="54"/>
    </row>
    <row r="31" spans="1:9" ht="15">
      <c r="A31" s="13" t="s">
        <v>8</v>
      </c>
      <c r="B31" s="25">
        <v>32</v>
      </c>
      <c r="C31" s="11">
        <v>32</v>
      </c>
      <c r="D31" s="28">
        <v>32</v>
      </c>
      <c r="E31" s="13"/>
      <c r="F31" s="13"/>
      <c r="G31" s="57">
        <f>G29*D38</f>
        <v>13.565630023826218</v>
      </c>
      <c r="H31" s="54" t="s">
        <v>54</v>
      </c>
      <c r="I31" s="54"/>
    </row>
    <row r="32" spans="1:9" ht="15">
      <c r="A32" s="13" t="s">
        <v>11</v>
      </c>
      <c r="B32" s="25">
        <v>161</v>
      </c>
      <c r="C32" s="67" t="s">
        <v>57</v>
      </c>
      <c r="D32" s="68" t="s">
        <v>58</v>
      </c>
      <c r="E32" s="13"/>
      <c r="F32" s="13"/>
      <c r="G32" s="57">
        <f>G29*D37</f>
        <v>13.515939071357993</v>
      </c>
      <c r="H32" s="54" t="s">
        <v>55</v>
      </c>
      <c r="I32" s="54"/>
    </row>
    <row r="33" spans="1:9" ht="15">
      <c r="A33" s="13" t="s">
        <v>12</v>
      </c>
      <c r="B33" s="26">
        <v>5.3</v>
      </c>
      <c r="C33" s="69" t="s">
        <v>56</v>
      </c>
      <c r="D33" s="68" t="s">
        <v>56</v>
      </c>
      <c r="E33" s="13"/>
      <c r="F33" s="13"/>
      <c r="G33" s="76">
        <f>G29/D43</f>
        <v>0.49900055716410124</v>
      </c>
      <c r="H33" s="54" t="s">
        <v>60</v>
      </c>
      <c r="I33" s="54"/>
    </row>
    <row r="34" spans="1:9" ht="15">
      <c r="A34" s="13" t="s">
        <v>9</v>
      </c>
      <c r="B34" s="27">
        <v>1.95</v>
      </c>
      <c r="C34" s="70"/>
      <c r="D34" s="71"/>
      <c r="E34" s="45"/>
      <c r="F34" s="13" t="s">
        <v>73</v>
      </c>
      <c r="G34" s="13"/>
      <c r="H34" s="13"/>
      <c r="I34" s="13"/>
    </row>
    <row r="35" spans="1:9" ht="15">
      <c r="A35" s="13" t="s">
        <v>50</v>
      </c>
      <c r="B35" s="46">
        <f>((B31-B30)*B34*B32/6250)-(B31-B30)*0.0304</f>
        <v>0.4898503999999999</v>
      </c>
      <c r="C35" s="46">
        <f>(C31-C30)*(13.23+0.1872*(C31+C30))/1000</f>
        <v>0.506899728</v>
      </c>
      <c r="D35" s="46">
        <f>(D31-D30)*(13.77+0.1733*(D31+D30))/1000</f>
        <v>0.509971328</v>
      </c>
      <c r="E35" s="13"/>
      <c r="F35" s="13" t="s">
        <v>71</v>
      </c>
      <c r="G35" s="13"/>
      <c r="H35" s="13"/>
      <c r="I35" s="13"/>
    </row>
    <row r="36" spans="1:9" ht="15">
      <c r="A36" s="13" t="s">
        <v>5</v>
      </c>
      <c r="B36" s="47">
        <f>B29*B35</f>
        <v>0</v>
      </c>
      <c r="C36" s="52">
        <f>C29*C35</f>
        <v>50.68997280000001</v>
      </c>
      <c r="D36" s="46">
        <f>D29*D35</f>
        <v>0.509971328</v>
      </c>
      <c r="E36" s="49"/>
      <c r="F36" s="13" t="s">
        <v>72</v>
      </c>
      <c r="G36" s="13"/>
      <c r="H36" s="13"/>
      <c r="I36" s="13"/>
    </row>
    <row r="37" spans="1:9" ht="15">
      <c r="A37" s="13" t="s">
        <v>13</v>
      </c>
      <c r="B37" s="46">
        <f>((B31-B30)*B34*B33/1000)-(B31-B30)*0.0049</f>
        <v>0.13424450000000002</v>
      </c>
      <c r="C37" s="46"/>
      <c r="D37" s="149">
        <f>(D31-D30)*(4.405+0.0275*(D31+D30))/1000</f>
        <v>0.13597840000000003</v>
      </c>
      <c r="E37" s="157" t="s">
        <v>282</v>
      </c>
      <c r="F37" s="87"/>
      <c r="G37" s="158"/>
      <c r="H37" s="87"/>
      <c r="I37" s="160">
        <v>50</v>
      </c>
    </row>
    <row r="38" spans="1:9" ht="15">
      <c r="A38" s="13" t="s">
        <v>51</v>
      </c>
      <c r="B38" s="46"/>
      <c r="C38" s="46"/>
      <c r="D38" s="161">
        <f>(136*I37/100+137*I38/100+137*I39/100+144*I40/100)/136*D37</f>
        <v>0.1364783205882353</v>
      </c>
      <c r="E38" s="87" t="s">
        <v>283</v>
      </c>
      <c r="F38" s="87"/>
      <c r="G38" s="87"/>
      <c r="H38" s="87"/>
      <c r="I38" s="160">
        <v>50</v>
      </c>
    </row>
    <row r="39" spans="1:10" ht="15">
      <c r="A39" s="13" t="s">
        <v>14</v>
      </c>
      <c r="B39" s="47">
        <f>B29*B37</f>
        <v>0</v>
      </c>
      <c r="C39" s="48"/>
      <c r="D39" s="49"/>
      <c r="E39" s="157" t="s">
        <v>286</v>
      </c>
      <c r="F39" s="87"/>
      <c r="G39" s="87"/>
      <c r="H39" s="87"/>
      <c r="I39" s="160">
        <v>0</v>
      </c>
      <c r="J39" s="87" t="s">
        <v>287</v>
      </c>
    </row>
    <row r="40" spans="1:11" ht="15">
      <c r="A40" s="13" t="s">
        <v>16</v>
      </c>
      <c r="B40" s="50">
        <f>(B31-B30)/4940</f>
        <v>0.005</v>
      </c>
      <c r="C40" s="50">
        <f>(C31-C30)/4940</f>
        <v>0.004979757085020243</v>
      </c>
      <c r="D40" s="50">
        <f>(D31-D30)/4940</f>
        <v>0.005020242914979757</v>
      </c>
      <c r="E40" s="157" t="s">
        <v>285</v>
      </c>
      <c r="F40" s="87"/>
      <c r="G40" s="87"/>
      <c r="H40" s="87"/>
      <c r="I40" s="160">
        <v>0</v>
      </c>
      <c r="J40" s="158">
        <f>I37+I38+I39+I40</f>
        <v>100</v>
      </c>
      <c r="K40" t="s">
        <v>288</v>
      </c>
    </row>
    <row r="41" spans="1:9" ht="15">
      <c r="A41" s="13" t="s">
        <v>31</v>
      </c>
      <c r="B41" s="51">
        <f>B37/B40</f>
        <v>26.848900000000004</v>
      </c>
      <c r="C41" s="51">
        <f>C37/C40</f>
        <v>0</v>
      </c>
      <c r="D41" s="51">
        <f>D37/D40</f>
        <v>27.086020000000005</v>
      </c>
      <c r="E41" s="59" t="s">
        <v>306</v>
      </c>
      <c r="F41" s="54"/>
      <c r="G41" s="54"/>
      <c r="H41" s="54"/>
      <c r="I41" s="58">
        <f>D38/D40</f>
        <v>27.185600955882354</v>
      </c>
    </row>
    <row r="42" spans="1:9" ht="15">
      <c r="A42" s="13" t="s">
        <v>26</v>
      </c>
      <c r="B42" s="51">
        <f>B29*B40</f>
        <v>0</v>
      </c>
      <c r="C42" s="51">
        <f>C29*C40</f>
        <v>0.49797570850202433</v>
      </c>
      <c r="D42" s="13"/>
      <c r="E42" s="54" t="s">
        <v>255</v>
      </c>
      <c r="F42" s="54"/>
      <c r="G42" s="53"/>
      <c r="H42" s="54"/>
      <c r="I42" s="54"/>
    </row>
    <row r="43" spans="1:9" ht="15">
      <c r="A43" s="13" t="s">
        <v>18</v>
      </c>
      <c r="B43" s="52">
        <f>1/B40</f>
        <v>200</v>
      </c>
      <c r="C43" s="52">
        <f>1/C40</f>
        <v>200.8130081300813</v>
      </c>
      <c r="D43" s="52">
        <f>1/D40</f>
        <v>199.19354838709677</v>
      </c>
      <c r="E43" s="54" t="s">
        <v>75</v>
      </c>
      <c r="F43" s="54"/>
      <c r="G43" s="54"/>
      <c r="H43" s="54"/>
      <c r="I43" s="54"/>
    </row>
    <row r="44" spans="2:3" ht="15">
      <c r="B44" s="2"/>
      <c r="C44" s="2"/>
    </row>
    <row r="45" spans="1:9" ht="15">
      <c r="A45" s="20" t="s">
        <v>20</v>
      </c>
      <c r="B45" s="21"/>
      <c r="C45" s="21"/>
      <c r="D45" s="21"/>
      <c r="E45" s="21"/>
      <c r="F45" s="21"/>
      <c r="G45" s="21"/>
      <c r="H45" s="21"/>
      <c r="I45" s="21"/>
    </row>
    <row r="46" spans="1:9" ht="15">
      <c r="A46" s="21" t="s">
        <v>33</v>
      </c>
      <c r="B46" s="21"/>
      <c r="C46" s="21"/>
      <c r="D46" s="21"/>
      <c r="E46" s="21"/>
      <c r="F46" s="21"/>
      <c r="G46" s="21"/>
      <c r="H46" s="21"/>
      <c r="I46" s="21"/>
    </row>
    <row r="47" spans="1:9" ht="15">
      <c r="A47" s="21"/>
      <c r="B47" s="31"/>
      <c r="C47" s="31"/>
      <c r="D47" s="30" t="s">
        <v>34</v>
      </c>
      <c r="E47" s="30" t="s">
        <v>38</v>
      </c>
      <c r="F47" s="30" t="s">
        <v>43</v>
      </c>
      <c r="G47" s="78" t="s">
        <v>62</v>
      </c>
      <c r="H47" s="5"/>
      <c r="I47" s="5"/>
    </row>
    <row r="48" spans="1:9" ht="15">
      <c r="A48" s="21"/>
      <c r="B48" s="33" t="s">
        <v>0</v>
      </c>
      <c r="C48" s="31" t="s">
        <v>77</v>
      </c>
      <c r="D48" s="30" t="s">
        <v>253</v>
      </c>
      <c r="E48" s="30" t="s">
        <v>41</v>
      </c>
      <c r="F48" s="30" t="s">
        <v>258</v>
      </c>
      <c r="G48" s="78" t="s">
        <v>45</v>
      </c>
      <c r="H48" s="5"/>
      <c r="I48" s="5"/>
    </row>
    <row r="49" spans="1:9" ht="15">
      <c r="A49" s="21"/>
      <c r="B49" s="29" t="s">
        <v>36</v>
      </c>
      <c r="C49" s="29" t="s">
        <v>36</v>
      </c>
      <c r="D49" s="30" t="s">
        <v>40</v>
      </c>
      <c r="E49" s="30" t="s">
        <v>42</v>
      </c>
      <c r="F49" s="30" t="s">
        <v>259</v>
      </c>
      <c r="G49" s="78" t="s">
        <v>46</v>
      </c>
      <c r="H49" s="5"/>
      <c r="I49" s="5"/>
    </row>
    <row r="50" spans="1:9" ht="15">
      <c r="A50" s="21" t="s">
        <v>17</v>
      </c>
      <c r="B50" s="24">
        <v>0</v>
      </c>
      <c r="C50" s="6">
        <v>100</v>
      </c>
      <c r="D50" s="30">
        <v>1</v>
      </c>
      <c r="E50" s="33">
        <f>IF(B50&gt;0,IF(B57&lt;C57,B58/D57,C58/D57),C58/D57)</f>
        <v>103.67709403650944</v>
      </c>
      <c r="F50" s="33">
        <f>E50/D65*30/1.4</f>
        <v>61.69668931253255</v>
      </c>
      <c r="G50" s="19">
        <f>IF(F50/D60&lt;E50,F50/D60,E50)</f>
        <v>99.82271890113195</v>
      </c>
      <c r="H50" s="5" t="s">
        <v>52</v>
      </c>
      <c r="I50" s="5"/>
    </row>
    <row r="51" spans="1:9" ht="15">
      <c r="A51" s="21" t="s">
        <v>7</v>
      </c>
      <c r="B51" s="25">
        <v>32</v>
      </c>
      <c r="C51" s="11">
        <v>32</v>
      </c>
      <c r="D51" s="64">
        <v>32</v>
      </c>
      <c r="E51" s="21"/>
      <c r="F51" s="21"/>
      <c r="G51" s="18">
        <f>G50*D57</f>
        <v>283.43687760467134</v>
      </c>
      <c r="H51" s="5" t="s">
        <v>53</v>
      </c>
      <c r="I51" s="5"/>
    </row>
    <row r="52" spans="1:12" ht="15">
      <c r="A52" s="21" t="s">
        <v>32</v>
      </c>
      <c r="B52" s="62">
        <f>B53/1.31</f>
        <v>81.6793893129771</v>
      </c>
      <c r="C52" s="62">
        <f>C53/1.31</f>
        <v>81.6793893129771</v>
      </c>
      <c r="D52" s="32">
        <f>D53/1.31</f>
        <v>81.6793893129771</v>
      </c>
      <c r="E52" s="21"/>
      <c r="F52" s="21"/>
      <c r="G52" s="18">
        <f>G50*D60</f>
        <v>61.69668931253255</v>
      </c>
      <c r="H52" s="5" t="s">
        <v>54</v>
      </c>
      <c r="I52" s="5"/>
      <c r="L52" t="s">
        <v>69</v>
      </c>
    </row>
    <row r="53" spans="1:9" ht="15">
      <c r="A53" s="21" t="s">
        <v>19</v>
      </c>
      <c r="B53" s="25">
        <v>107</v>
      </c>
      <c r="C53" s="11">
        <v>107</v>
      </c>
      <c r="D53" s="28">
        <v>107</v>
      </c>
      <c r="E53" s="21"/>
      <c r="F53" s="21"/>
      <c r="G53" s="18">
        <f>G50*D59</f>
        <v>61.59685648192974</v>
      </c>
      <c r="H53" s="5" t="s">
        <v>55</v>
      </c>
      <c r="I53" s="5"/>
    </row>
    <row r="54" spans="1:9" ht="15">
      <c r="A54" s="21" t="s">
        <v>11</v>
      </c>
      <c r="B54" s="25">
        <v>150</v>
      </c>
      <c r="C54" s="72" t="s">
        <v>57</v>
      </c>
      <c r="D54" s="73" t="s">
        <v>58</v>
      </c>
      <c r="E54" s="21"/>
      <c r="F54" s="21"/>
      <c r="G54" s="77">
        <f>G50/D65</f>
        <v>2.7721403858951046</v>
      </c>
      <c r="H54" s="5" t="s">
        <v>60</v>
      </c>
      <c r="I54" s="5"/>
    </row>
    <row r="55" spans="1:9" ht="15">
      <c r="A55" s="21" t="s">
        <v>12</v>
      </c>
      <c r="B55" s="26">
        <v>4.5</v>
      </c>
      <c r="C55" s="74" t="s">
        <v>56</v>
      </c>
      <c r="D55" s="73" t="s">
        <v>56</v>
      </c>
      <c r="E55" s="21"/>
      <c r="F55" s="21" t="s">
        <v>73</v>
      </c>
      <c r="G55" s="21"/>
      <c r="H55" s="21"/>
      <c r="I55" s="21"/>
    </row>
    <row r="56" spans="1:9" ht="15">
      <c r="A56" s="21" t="s">
        <v>9</v>
      </c>
      <c r="B56" s="27">
        <v>2.84</v>
      </c>
      <c r="C56" s="75"/>
      <c r="D56" s="65"/>
      <c r="E56" s="38"/>
      <c r="F56" s="21" t="s">
        <v>71</v>
      </c>
      <c r="G56" s="21"/>
      <c r="H56" s="21"/>
      <c r="I56" s="21"/>
    </row>
    <row r="57" spans="1:9" ht="15">
      <c r="A57" s="21" t="s">
        <v>10</v>
      </c>
      <c r="B57" s="34">
        <f>((B53-B51)*B56*B54/6250)-(B53-B51)*0.0296</f>
        <v>2.892</v>
      </c>
      <c r="C57" s="34">
        <f>(C53-C51)*(13.23+0.1872*(C53+C51))/1000</f>
        <v>2.94381</v>
      </c>
      <c r="D57" s="34">
        <f>(D53-D51)*(13.77+0.1733*(D53+D51))/1000</f>
        <v>2.8394025000000003</v>
      </c>
      <c r="E57" s="21"/>
      <c r="F57" s="21" t="s">
        <v>72</v>
      </c>
      <c r="G57" s="21"/>
      <c r="H57" s="21"/>
      <c r="I57" s="21"/>
    </row>
    <row r="58" spans="1:10" ht="15">
      <c r="A58" s="21" t="s">
        <v>5</v>
      </c>
      <c r="B58" s="39">
        <f>B50*B57</f>
        <v>0</v>
      </c>
      <c r="C58" s="36">
        <f>C50*C57</f>
        <v>294.38100000000003</v>
      </c>
      <c r="D58" s="34">
        <f>D50*D57</f>
        <v>2.8394025000000003</v>
      </c>
      <c r="E58" s="157" t="s">
        <v>282</v>
      </c>
      <c r="F58" s="87"/>
      <c r="G58" s="158"/>
      <c r="H58" s="87"/>
      <c r="I58" s="160">
        <v>50</v>
      </c>
      <c r="J58" t="s">
        <v>289</v>
      </c>
    </row>
    <row r="59" spans="1:10" ht="15">
      <c r="A59" s="21" t="s">
        <v>13</v>
      </c>
      <c r="B59" s="34">
        <f>((B53-B51)*B56*B55/1000)-(B53-B51)*0.0055</f>
        <v>0.546</v>
      </c>
      <c r="C59" s="34"/>
      <c r="D59" s="34">
        <f>(D53-D51)*(4.405+0.0275*(D53+D51))/1000</f>
        <v>0.6170625000000001</v>
      </c>
      <c r="E59" s="87" t="s">
        <v>283</v>
      </c>
      <c r="F59" s="87"/>
      <c r="G59" s="87"/>
      <c r="H59" s="87"/>
      <c r="I59" s="160">
        <v>50</v>
      </c>
      <c r="J59" t="s">
        <v>290</v>
      </c>
    </row>
    <row r="60" spans="1:9" ht="15">
      <c r="A60" s="21" t="s">
        <v>66</v>
      </c>
      <c r="B60" s="34"/>
      <c r="C60" s="34"/>
      <c r="D60" s="162">
        <f>(I58/100*617+619*I59/100+625*I60/100+638*I61/100+658*I62/100)/617*D59</f>
        <v>0.6180626012965965</v>
      </c>
      <c r="E60" s="157" t="s">
        <v>286</v>
      </c>
      <c r="F60" s="87"/>
      <c r="G60" s="87"/>
      <c r="H60" s="87"/>
      <c r="I60" s="160">
        <v>0</v>
      </c>
    </row>
    <row r="61" spans="1:10" ht="15">
      <c r="A61" s="21" t="s">
        <v>14</v>
      </c>
      <c r="B61" s="39">
        <f>B50*B59</f>
        <v>0</v>
      </c>
      <c r="C61" s="36"/>
      <c r="D61" s="22"/>
      <c r="E61" s="157" t="s">
        <v>284</v>
      </c>
      <c r="F61" s="87"/>
      <c r="G61" s="87"/>
      <c r="H61" s="87"/>
      <c r="I61" s="160">
        <v>0</v>
      </c>
      <c r="J61" s="87" t="s">
        <v>287</v>
      </c>
    </row>
    <row r="62" spans="1:11" ht="15">
      <c r="A62" s="21" t="s">
        <v>16</v>
      </c>
      <c r="B62" s="37">
        <f>(40-B51)/4940+(87-40)/2910+(B53-87)/2000</f>
        <v>0.02777063594752146</v>
      </c>
      <c r="C62" s="37">
        <f>(40-C51)/4940+(87-40)/2910+(C53-87)/2000</f>
        <v>0.02777063594752146</v>
      </c>
      <c r="D62" s="37">
        <f>(40-D51)/4940+(87-40)/2910+(D53-87)/2000</f>
        <v>0.02777063594752146</v>
      </c>
      <c r="E62" s="159" t="s">
        <v>285</v>
      </c>
      <c r="F62" s="87"/>
      <c r="G62" s="87"/>
      <c r="H62" s="87"/>
      <c r="I62" s="160">
        <v>0</v>
      </c>
      <c r="J62" s="158">
        <f>I58+I59+I60+I61+I62</f>
        <v>100</v>
      </c>
      <c r="K62" t="s">
        <v>288</v>
      </c>
    </row>
    <row r="63" spans="1:9" ht="15">
      <c r="A63" s="21" t="s">
        <v>31</v>
      </c>
      <c r="B63" s="33">
        <f>B59/B62</f>
        <v>19.66105497302199</v>
      </c>
      <c r="C63" s="33">
        <f>C59/C62</f>
        <v>0</v>
      </c>
      <c r="D63" s="33">
        <f>D59/D62</f>
        <v>22.21996288331572</v>
      </c>
      <c r="E63" s="60" t="s">
        <v>260</v>
      </c>
      <c r="F63" s="5"/>
      <c r="G63" s="5"/>
      <c r="H63" s="5"/>
      <c r="I63" s="61">
        <f>D60/D62</f>
        <v>22.25597578912336</v>
      </c>
    </row>
    <row r="64" spans="1:9" ht="15">
      <c r="A64" s="21" t="s">
        <v>27</v>
      </c>
      <c r="B64" s="33">
        <f>B50*B62</f>
        <v>0</v>
      </c>
      <c r="C64" s="33">
        <f>C50*C62</f>
        <v>2.777063594752146</v>
      </c>
      <c r="D64" s="21"/>
      <c r="E64" s="5" t="s">
        <v>255</v>
      </c>
      <c r="F64" s="5"/>
      <c r="G64" s="61"/>
      <c r="H64" s="5"/>
      <c r="I64" s="5"/>
    </row>
    <row r="65" spans="1:9" ht="15">
      <c r="A65" s="21" t="s">
        <v>18</v>
      </c>
      <c r="B65" s="33">
        <f>1/B62</f>
        <v>36.009258192347964</v>
      </c>
      <c r="C65" s="33">
        <f>1/C62</f>
        <v>36.009258192347964</v>
      </c>
      <c r="D65" s="33">
        <f>1/D62</f>
        <v>36.009258192347964</v>
      </c>
      <c r="E65" s="5"/>
      <c r="F65" s="5"/>
      <c r="G65" s="5"/>
      <c r="H65" s="5"/>
      <c r="I65" s="5"/>
    </row>
    <row r="66" spans="2:3" ht="15">
      <c r="B66" s="8"/>
      <c r="C66" s="8"/>
    </row>
    <row r="67" spans="1:8" ht="15">
      <c r="A67" s="10"/>
      <c r="B67" s="4"/>
      <c r="C67" s="4"/>
      <c r="D67" s="4"/>
      <c r="E67" s="4"/>
      <c r="F67" s="4"/>
      <c r="G67" s="4"/>
      <c r="H67" s="4"/>
    </row>
    <row r="68" spans="1:8" ht="15">
      <c r="A68" s="10" t="s">
        <v>301</v>
      </c>
      <c r="B68" s="4"/>
      <c r="C68" s="4"/>
      <c r="D68" s="4"/>
      <c r="E68" s="4"/>
      <c r="F68" s="4"/>
      <c r="G68" s="4"/>
      <c r="H68" s="4"/>
    </row>
    <row r="69" spans="1:8" ht="15">
      <c r="A69" s="10"/>
      <c r="B69" s="4"/>
      <c r="C69" s="4"/>
      <c r="D69" s="4"/>
      <c r="E69" s="4"/>
      <c r="F69" s="4"/>
      <c r="G69" s="4"/>
      <c r="H69" s="4"/>
    </row>
    <row r="70" spans="1:8" ht="15">
      <c r="A70" s="21" t="s">
        <v>292</v>
      </c>
      <c r="B70" s="4" t="s">
        <v>303</v>
      </c>
      <c r="C70" s="4" t="s">
        <v>293</v>
      </c>
      <c r="D70" s="4"/>
      <c r="E70" s="4" t="s">
        <v>291</v>
      </c>
      <c r="F70" s="4"/>
      <c r="G70" s="4"/>
      <c r="H70" s="4" t="s">
        <v>293</v>
      </c>
    </row>
    <row r="71" spans="1:8" ht="15">
      <c r="A71" s="15" t="s">
        <v>297</v>
      </c>
      <c r="B71" s="164">
        <v>20</v>
      </c>
      <c r="C71" s="166">
        <v>3.9</v>
      </c>
      <c r="D71" s="4"/>
      <c r="E71" s="15" t="s">
        <v>102</v>
      </c>
      <c r="F71" s="15"/>
      <c r="G71" s="160">
        <v>50</v>
      </c>
      <c r="H71" s="167">
        <v>1.672</v>
      </c>
    </row>
    <row r="72" spans="1:8" ht="15">
      <c r="A72" s="15" t="s">
        <v>298</v>
      </c>
      <c r="B72" s="164">
        <v>0</v>
      </c>
      <c r="C72" s="166">
        <v>3.9</v>
      </c>
      <c r="D72" s="4"/>
      <c r="E72" s="15" t="s">
        <v>103</v>
      </c>
      <c r="F72" s="15"/>
      <c r="G72" s="160">
        <v>50</v>
      </c>
      <c r="H72" s="167">
        <v>1.672</v>
      </c>
    </row>
    <row r="73" spans="1:8" ht="15">
      <c r="A73" s="15" t="s">
        <v>299</v>
      </c>
      <c r="B73" s="164">
        <v>0</v>
      </c>
      <c r="C73" s="166">
        <v>3.935</v>
      </c>
      <c r="D73" s="4"/>
      <c r="E73" s="15" t="s">
        <v>300</v>
      </c>
      <c r="F73" s="15"/>
      <c r="G73" s="160">
        <v>0</v>
      </c>
      <c r="H73" s="167">
        <v>1.83</v>
      </c>
    </row>
    <row r="74" spans="1:8" ht="15">
      <c r="A74" s="15" t="s">
        <v>132</v>
      </c>
      <c r="B74" s="164">
        <v>0</v>
      </c>
      <c r="C74" s="166">
        <v>4.062</v>
      </c>
      <c r="D74" s="12"/>
      <c r="E74" s="15" t="s">
        <v>304</v>
      </c>
      <c r="F74" s="15"/>
      <c r="G74" s="12">
        <f>SUM(G71:G73)</f>
        <v>100</v>
      </c>
      <c r="H74" s="168">
        <f>(G71*H71+G72*H72+G73*H73)/100</f>
        <v>1.672</v>
      </c>
    </row>
    <row r="75" spans="1:8" ht="15">
      <c r="A75" s="15" t="s">
        <v>133</v>
      </c>
      <c r="B75" s="164">
        <v>0</v>
      </c>
      <c r="C75" s="166">
        <v>4.062</v>
      </c>
      <c r="D75" s="12"/>
      <c r="E75" s="4"/>
      <c r="F75" s="4"/>
      <c r="G75" s="12" t="s">
        <v>288</v>
      </c>
      <c r="H75" s="4"/>
    </row>
    <row r="76" spans="1:8" ht="15">
      <c r="A76" s="15" t="s">
        <v>134</v>
      </c>
      <c r="B76" s="164">
        <v>0</v>
      </c>
      <c r="C76" s="166">
        <v>4.316</v>
      </c>
      <c r="D76" s="4"/>
      <c r="E76" s="4"/>
      <c r="F76" s="4"/>
      <c r="G76" s="4"/>
      <c r="H76" s="4"/>
    </row>
    <row r="77" spans="1:8" ht="15">
      <c r="A77" s="15" t="s">
        <v>135</v>
      </c>
      <c r="B77" s="164">
        <v>80</v>
      </c>
      <c r="C77" s="166">
        <v>3.923</v>
      </c>
      <c r="D77" s="4"/>
      <c r="E77" s="4" t="s">
        <v>294</v>
      </c>
      <c r="F77" s="4"/>
      <c r="G77" s="4"/>
      <c r="H77" s="4"/>
    </row>
    <row r="78" spans="1:6" ht="15">
      <c r="A78" s="15" t="s">
        <v>305</v>
      </c>
      <c r="B78" s="165">
        <f>SUM(B71:B77)</f>
        <v>100</v>
      </c>
      <c r="C78" s="168">
        <f>(B71*C71+B72*C72+B73*C73+B74*C74+B75*C75+B76*C76+B77*C77)/100</f>
        <v>3.9184</v>
      </c>
      <c r="E78" s="169">
        <f>C78+H74</f>
        <v>5.5904</v>
      </c>
      <c r="F78" s="82" t="s">
        <v>295</v>
      </c>
    </row>
    <row r="79" ht="15">
      <c r="B79" s="12" t="s">
        <v>288</v>
      </c>
    </row>
  </sheetData>
  <sheetProtection password="DC48" sheet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 Landbrugsrådgivning, Landscentret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Tybirk</dc:creator>
  <cp:keywords/>
  <dc:description/>
  <cp:lastModifiedBy>Linda Brix</cp:lastModifiedBy>
  <cp:lastPrinted>2013-11-27T14:12:53Z</cp:lastPrinted>
  <dcterms:created xsi:type="dcterms:W3CDTF">2010-10-15T07:29:17Z</dcterms:created>
  <dcterms:modified xsi:type="dcterms:W3CDTF">2013-12-06T07:47:19Z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0x01010039AECF0C0DF042669F1227F4A133879E0100C463F228579D7B40BC7AC9090504053D</vt:lpwstr>
  </property>
  <property fmtid="{D5CDD505-2E9C-101B-9397-08002B2CF9AE}" pid="3" name="DocuWise.Language">
    <vt:lpwstr/>
  </property>
  <property fmtid="{D5CDD505-2E9C-101B-9397-08002B2CF9AE}" pid="4" name="DocuWise.Project">
    <vt:lpwstr/>
  </property>
  <property fmtid="{D5CDD505-2E9C-101B-9397-08002B2CF9AE}" pid="5" name="Docuwise.Type">
    <vt:lpwstr/>
  </property>
  <property fmtid="{D5CDD505-2E9C-101B-9397-08002B2CF9AE}" pid="6" name="Docuwise.Person">
    <vt:lpwstr/>
  </property>
  <property fmtid="{D5CDD505-2E9C-101B-9397-08002B2CF9AE}" pid="7" name="Docuwise.PersonText">
    <vt:lpwstr/>
  </property>
  <property fmtid="{D5CDD505-2E9C-101B-9397-08002B2CF9AE}" pid="8" name="Docuwise.Received">
    <vt:lpwstr>0</vt:lpwstr>
  </property>
  <property fmtid="{D5CDD505-2E9C-101B-9397-08002B2CF9AE}" pid="9" name="Docuwise.Ended">
    <vt:lpwstr>0</vt:lpwstr>
  </property>
  <property fmtid="{D5CDD505-2E9C-101B-9397-08002B2CF9AE}" pid="10" name="Docuwise.Legacy.Department">
    <vt:lpwstr/>
  </property>
  <property fmtid="{D5CDD505-2E9C-101B-9397-08002B2CF9AE}" pid="11" name="Docuwise.CompanyText">
    <vt:lpwstr/>
  </property>
  <property fmtid="{D5CDD505-2E9C-101B-9397-08002B2CF9AE}" pid="12" name="Docuwise.Legacy.CreatedByEmail">
    <vt:lpwstr/>
  </property>
  <property fmtid="{D5CDD505-2E9C-101B-9397-08002B2CF9AE}" pid="13" name="DocuWise.Number">
    <vt:lpwstr/>
  </property>
  <property fmtid="{D5CDD505-2E9C-101B-9397-08002B2CF9AE}" pid="14" name="DocuWise.CaseWorker">
    <vt:lpwstr/>
  </property>
  <property fmtid="{D5CDD505-2E9C-101B-9397-08002B2CF9AE}" pid="15" name="Docuwise.Legacy.CaseWorkerEmail">
    <vt:lpwstr/>
  </property>
  <property fmtid="{D5CDD505-2E9C-101B-9397-08002B2CF9AE}" pid="16" name="DocuWise.CHRNumber">
    <vt:lpwstr/>
  </property>
  <property fmtid="{D5CDD505-2E9C-101B-9397-08002B2CF9AE}" pid="17" name="Docuwise.Legacy.CreatedByName">
    <vt:lpwstr/>
  </property>
  <property fmtid="{D5CDD505-2E9C-101B-9397-08002B2CF9AE}" pid="18" name="Docuwise.Legacy.CaseWorkerName">
    <vt:lpwstr/>
  </property>
  <property fmtid="{D5CDD505-2E9C-101B-9397-08002B2CF9AE}" pid="19" name="DocuWise.TestNumber">
    <vt:lpwstr/>
  </property>
  <property fmtid="{D5CDD505-2E9C-101B-9397-08002B2CF9AE}" pid="20" name="Docuwise.Company">
    <vt:lpwstr/>
  </property>
  <property fmtid="{D5CDD505-2E9C-101B-9397-08002B2CF9AE}" pid="21" name="DocuWise.JobDescription">
    <vt:lpwstr/>
  </property>
  <property fmtid="{D5CDD505-2E9C-101B-9397-08002B2CF9AE}" pid="22" name="_dlc_DocId">
    <vt:lpwstr>LFID-25-56223</vt:lpwstr>
  </property>
  <property fmtid="{D5CDD505-2E9C-101B-9397-08002B2CF9AE}" pid="23" name="_dlc_DocIdItemGuid">
    <vt:lpwstr>f72544c0-2d43-4453-a543-1d80109a7242</vt:lpwstr>
  </property>
  <property fmtid="{D5CDD505-2E9C-101B-9397-08002B2CF9AE}" pid="24" name="_dlc_DocIdUrl">
    <vt:lpwstr>http://lf-docuwise/vsp/vspaktivteter/_layouts/DocIdRedir.aspx?ID=LFID-25-56223, LFID-25-56223</vt:lpwstr>
  </property>
</Properties>
</file>