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232" windowHeight="7416" firstSheet="2" activeTab="5"/>
  </bookViews>
  <sheets>
    <sheet name="§29 dyretype indtastning" sheetId="1" r:id="rId1"/>
    <sheet name="udskrift §29, dyretype" sheetId="2" r:id="rId2"/>
    <sheet name="§30, godk 2002-ult2006, 1.gang" sheetId="3" r:id="rId3"/>
    <sheet name="§30, godk 2002-ult2006, 2.gang" sheetId="4" state="hidden" r:id="rId4"/>
    <sheet name="§30, godk 2002-06, 2. gang" sheetId="5" r:id="rId5"/>
    <sheet name="§31, godkendt 2007-11" sheetId="6" r:id="rId6"/>
  </sheets>
  <definedNames>
    <definedName name="_AMO_UniqueIdentifier" hidden="1">"'98a9909e-52dc-4371-a0c9-43c678d92a1a'"</definedName>
    <definedName name="_xlnm.Print_Area" localSheetId="2">'§30, godk 2002-ult2006, 1.gang'!$A$1:$O$97</definedName>
    <definedName name="_xlnm.Print_Area" localSheetId="3">'§30, godk 2002-ult2006, 2.gang'!$A$1:$O$97</definedName>
  </definedNames>
  <calcPr fullCalcOnLoad="1"/>
</workbook>
</file>

<file path=xl/sharedStrings.xml><?xml version="1.0" encoding="utf-8"?>
<sst xmlns="http://schemas.openxmlformats.org/spreadsheetml/2006/main" count="541" uniqueCount="242">
  <si>
    <t>Egne tal</t>
  </si>
  <si>
    <t>Fravænningsvægt, kg</t>
  </si>
  <si>
    <t>Råprotein, g/FEso</t>
  </si>
  <si>
    <t>Fosfor, g/FEso</t>
  </si>
  <si>
    <t>FEso pr årsso</t>
  </si>
  <si>
    <t>N ab dyr i alt, kg N</t>
  </si>
  <si>
    <t>Antal producerede smågrise</t>
  </si>
  <si>
    <t>Indgangsvægt, kg</t>
  </si>
  <si>
    <t>Afgangsvægt, kg</t>
  </si>
  <si>
    <t>FEsv pr kg tilvækst</t>
  </si>
  <si>
    <t>Råprotein, g/FEsv</t>
  </si>
  <si>
    <t>Fosfor, g/FEsv</t>
  </si>
  <si>
    <t>P ab dyr, kg pr gris</t>
  </si>
  <si>
    <t>P ab dyr i alt, kg P</t>
  </si>
  <si>
    <t>P ab dyr, kg pr årsso</t>
  </si>
  <si>
    <t>Fravænnede grise pr årsso</t>
  </si>
  <si>
    <t xml:space="preserve">N ab dyr pr årsso, kg </t>
  </si>
  <si>
    <t>Søer med grise til fravænning</t>
  </si>
  <si>
    <t>Slagtesvins DE-beregning forudsætter indgangsvægt under 40 kg og afgangsvægt over 87 kg (levende)</t>
  </si>
  <si>
    <t>Normtal</t>
  </si>
  <si>
    <t>Godkendt</t>
  </si>
  <si>
    <t xml:space="preserve">Antal årssøer, </t>
  </si>
  <si>
    <t xml:space="preserve">N ab dyr pr gris,kg </t>
  </si>
  <si>
    <t>antal</t>
  </si>
  <si>
    <t>vægte</t>
  </si>
  <si>
    <t>anmeldte</t>
  </si>
  <si>
    <t xml:space="preserve"> </t>
  </si>
  <si>
    <t>Smågrise</t>
  </si>
  <si>
    <t>vægt ind</t>
  </si>
  <si>
    <t>vægt ud</t>
  </si>
  <si>
    <t>Anmeldt vægtinterval</t>
  </si>
  <si>
    <t>DE tilladt i alt</t>
  </si>
  <si>
    <t>tilladt</t>
  </si>
  <si>
    <t>Antal</t>
  </si>
  <si>
    <t>pr DE</t>
  </si>
  <si>
    <t>i år</t>
  </si>
  <si>
    <t>i alt</t>
  </si>
  <si>
    <t>DE</t>
  </si>
  <si>
    <t>2002-10</t>
  </si>
  <si>
    <t>&gt;50% fast gulv</t>
  </si>
  <si>
    <t>25-50% fast gulv</t>
  </si>
  <si>
    <t>Delvis fast gulv</t>
  </si>
  <si>
    <t>Drænet gulv</t>
  </si>
  <si>
    <t>Fixerede delvis fast gulv</t>
  </si>
  <si>
    <t>Fixerede fuldspaltegulv</t>
  </si>
  <si>
    <t>N ab dyr</t>
  </si>
  <si>
    <t>N ab lager</t>
  </si>
  <si>
    <t>NH3</t>
  </si>
  <si>
    <t>P ab dyr</t>
  </si>
  <si>
    <t>P ab lager</t>
  </si>
  <si>
    <t>Indg-vægt</t>
  </si>
  <si>
    <t>afg. Vægt</t>
  </si>
  <si>
    <t>prod grise</t>
  </si>
  <si>
    <t>stipladser</t>
  </si>
  <si>
    <t>OU pr stald</t>
  </si>
  <si>
    <t>LE pr stald</t>
  </si>
  <si>
    <t>I alt hele produktion</t>
  </si>
  <si>
    <t>Løbe/dræ.stalde</t>
  </si>
  <si>
    <t>Dage/gris</t>
  </si>
  <si>
    <t>kg</t>
  </si>
  <si>
    <t xml:space="preserve">Smågrise, dvs max 40 kg </t>
  </si>
  <si>
    <t>Slagtesvin, ind før 40 kg og ud efter 87 kg levende</t>
  </si>
  <si>
    <t>Slagtesvin i alt</t>
  </si>
  <si>
    <t>vægt, kg</t>
  </si>
  <si>
    <t>afgangs-</t>
  </si>
  <si>
    <t>grise</t>
  </si>
  <si>
    <t>OU pr</t>
  </si>
  <si>
    <t>1000 kg</t>
  </si>
  <si>
    <t>LE pr</t>
  </si>
  <si>
    <t>Løbe/drægtighesstalde pr årsso</t>
  </si>
  <si>
    <t>Løse dybstrø + spaltegulv</t>
  </si>
  <si>
    <t>Løse dybstrø + fast gulv</t>
  </si>
  <si>
    <t>Løse dybstrøelse</t>
  </si>
  <si>
    <t>LE/so</t>
  </si>
  <si>
    <t>For slagtesvin er holddriftsintervallet normalt 12, 13 eller 14 uger, dvs 84, 91 eller 98 dage. Gns. opholdstid er kortere! (lig: (slut-startvægt) / daglig tilv., kg)</t>
  </si>
  <si>
    <t>*For søer vil der ved 28, 31,5 og 35 dages diegivningsperiode være 21%, 22,5% og 24,3% af årssøerne i farestalden - forudsat 5 dage i farestald før faring</t>
  </si>
  <si>
    <t>produc.</t>
  </si>
  <si>
    <t>Smågrise, i alt</t>
  </si>
  <si>
    <t>TIP:Hvis man kender stipladser og holddriftsinterval (dage pr gris), men ikke antal producerede - så gætter man på producerede indtil stipladser passer.</t>
  </si>
  <si>
    <t>OU/so</t>
  </si>
  <si>
    <t>Farestalde</t>
  </si>
  <si>
    <t>Pr årsso i alt:</t>
  </si>
  <si>
    <t>Der indtastes i gule felter</t>
  </si>
  <si>
    <t>Svar = max tilladt i grønne felter</t>
  </si>
  <si>
    <t>Definition af stipladser er ikke helt entydig - er det antal fysiske pladser til rådighed eller gennemsnitlig antal grise på stald? Antal fysiske pladser</t>
  </si>
  <si>
    <t>60 LE/1000 kg</t>
  </si>
  <si>
    <t>FMK</t>
  </si>
  <si>
    <t>NH3-N</t>
  </si>
  <si>
    <t>Delvis fast gulv, % af farepladser</t>
  </si>
  <si>
    <t>Drænet gulv, % af farepladser</t>
  </si>
  <si>
    <t>Heraf % i farestalde:</t>
  </si>
  <si>
    <t>% af farestipladser</t>
  </si>
  <si>
    <t>antal søer</t>
  </si>
  <si>
    <t>% af løbe/dr pladser</t>
  </si>
  <si>
    <t>I alt farestalde (skal være 100%)</t>
  </si>
  <si>
    <t>I alt løbe-dr.stalde(skal være 100%)</t>
  </si>
  <si>
    <t>I alt løbe-dr.stalde, (skal være 100%)</t>
  </si>
  <si>
    <t>uændret antal og vægt medføre færre DE efter</t>
  </si>
  <si>
    <t>Det bemærkes, at der i den oprindelige godkendelse kan være brugt lidt forskellige formler til beregning af DE</t>
  </si>
  <si>
    <t>DE/svin</t>
  </si>
  <si>
    <t>Det foreslås her at bruge de godkendte DE fra den oprindelige godkendelse som basis for beregning</t>
  </si>
  <si>
    <t>af hvor mange svin der må være, når DE skal være uændret.</t>
  </si>
  <si>
    <t>Eksempelvis gav vægtintervallet 30-102 kg 34,7 svin pr DE med de eksakte formler, men der har i flere år</t>
  </si>
  <si>
    <t>været brugt en formel, hvor der korrigeres for afvigelser fra 30-102 kg, hvor udgangspunktet var 35 pr DE for 30-102 kg</t>
  </si>
  <si>
    <t>DE indtil 25 kg</t>
  </si>
  <si>
    <t>DE fra 25 til afgangsvægt</t>
  </si>
  <si>
    <t>afhængig af, om der korrigeres fra et afrundet tal - eller regnes med den oprindelige definition. (36,0 fra 30-100 kg)</t>
  </si>
  <si>
    <t>heraf % i drægtighedsstalde :</t>
  </si>
  <si>
    <t>heraf  % i drægtighedsstalde :</t>
  </si>
  <si>
    <t>Årssøer i alt antal:</t>
  </si>
  <si>
    <t>Årssøer i alt antal :</t>
  </si>
  <si>
    <t>definition</t>
  </si>
  <si>
    <t>Individuel opstaldning, fuldspaltegulv</t>
  </si>
  <si>
    <t>Individuel opstaldning, delvis spaltegulv</t>
  </si>
  <si>
    <t>Løse dybstrøelse + spaltegulv</t>
  </si>
  <si>
    <t>Løse dybstrøelse + fast gulv</t>
  </si>
  <si>
    <t>Løse delvis spaltegulv</t>
  </si>
  <si>
    <t>Normtal for ammoniakfordampning</t>
  </si>
  <si>
    <t xml:space="preserve">med den beregningsmodel basis TAN, </t>
  </si>
  <si>
    <t>i mellemregninger</t>
  </si>
  <si>
    <t>Bemærk</t>
  </si>
  <si>
    <t>Samme antal dyreenheder, før og efter</t>
  </si>
  <si>
    <t>DE i alt, godkendt skal indtastes, beregnes ikke</t>
  </si>
  <si>
    <t>Drænet gulv+spalter</t>
  </si>
  <si>
    <t>indgangs-</t>
  </si>
  <si>
    <t>Smågrise, 7,1-31 kg</t>
  </si>
  <si>
    <t>Slagtesvin, 31-107 kg</t>
  </si>
  <si>
    <t>Beregning basis nyeste definition:</t>
  </si>
  <si>
    <t>2014+</t>
  </si>
  <si>
    <t>Frivillig indtastning i lysegule felter</t>
  </si>
  <si>
    <t>Det er tilladt at opgradere ifølge ændret DE-definition fra 2002 definition til 2014 definition for grise over 25 kg</t>
  </si>
  <si>
    <t>Godkendt 2002-2007</t>
  </si>
  <si>
    <t>Smågrise, dvs. afgangsvægt under 40 kg for at beregning er korrekt og over 25 kg for at det er relevant</t>
  </si>
  <si>
    <t>Det er tilladt at opgradere den 1. gangs anmeldte produktion  (fra 2002 til 2010 def) til 2014 definition (fra 2010 til 2014 def) for grise over 25 kg</t>
  </si>
  <si>
    <t>Fagligt ansvarlig Per Tybirk, 87405361</t>
  </si>
  <si>
    <t>Hjælpeberegning af</t>
  </si>
  <si>
    <t>eksakte formler 2002</t>
  </si>
  <si>
    <t>godkendt</t>
  </si>
  <si>
    <t>antal pr DE og ialt ifølge</t>
  </si>
  <si>
    <t>eksakte formler 2010</t>
  </si>
  <si>
    <t>FRATS</t>
  </si>
  <si>
    <t xml:space="preserve">2014 DE pr svin i anmeldt vægtinterval </t>
  </si>
  <si>
    <t>FRATS, dvs startvægt &lt;25 kg og slutvægt over 87 kg levende vægt både før og efter anmeldelse</t>
  </si>
  <si>
    <t>Slagtesvin, kræver startvægt over 25 kg</t>
  </si>
  <si>
    <t>Også ved FRATS tages udgangspunkt i godkendte DE, hvis dette afviger lidt fra DE ifølge formel</t>
  </si>
  <si>
    <t>2010-14</t>
  </si>
  <si>
    <t>Anmeldt 2010-14</t>
  </si>
  <si>
    <t>anmeldt</t>
  </si>
  <si>
    <t>(hvis der er anmeldt færre DE ifølge 2010 Definition end ifølge 2002 definition må man vurdere hvilken, der er mest relevant, afhængig af årsag til forskel.)</t>
  </si>
  <si>
    <t>Det antages, at det oprindeligt godkendte antal DE 2002-2010 er lig med det anmeldte antal DE fra 2010-14</t>
  </si>
  <si>
    <t>Derfor tages udgangspunkt i de godkendte DE 2002-2010 = anmeldte DE 2010-2014</t>
  </si>
  <si>
    <t>Også ved FRATS tages udgangspunkt i godkendte = anmeldte DE</t>
  </si>
  <si>
    <t>Godkendt/anmeldt 2010-14</t>
  </si>
  <si>
    <t>Smågrise, dvs. afgangsvægt under 40 kg for at beregning er korrekt og over 25 kg for, at det er relevant</t>
  </si>
  <si>
    <t>2014 DE pr svin i anmeldt vægtinterval :</t>
  </si>
  <si>
    <t>kan beregnes fra holddriftinterval, mens gns. antal dyr på stald beregnes ud fra dage pr gris fra start til slutvægt. Landsgns er 54 dage småg og 85 dage sl.svin</t>
  </si>
  <si>
    <t>Aktuel produktion før ændring - eller mulig produktion ifølge § 32 eller § 33 ved uændret dyretype.</t>
  </si>
  <si>
    <t>Ønsket produktion ved udnyttelse af § 31. Her prøver man sig frem for at sikre uændret miljøbelastning</t>
  </si>
  <si>
    <t>Normtal 2016/17</t>
  </si>
  <si>
    <t>Fuldspaltegulv</t>
  </si>
  <si>
    <t>er publiceret med færre decimaler. De er her beregnet</t>
  </si>
  <si>
    <t>som har været anvend hidtil</t>
  </si>
  <si>
    <t>Kan kun håndtere beregninger ifølge 2016/17 normtal både før og efter. Der indtastes i gule felter</t>
  </si>
  <si>
    <t>2016/17</t>
  </si>
  <si>
    <r>
      <rPr>
        <sz val="11"/>
        <color indexed="10"/>
        <rFont val="Calibri"/>
        <family val="2"/>
      </rPr>
      <t>ikke</t>
    </r>
    <r>
      <rPr>
        <sz val="11"/>
        <color theme="1"/>
        <rFont val="Calibri"/>
        <family val="2"/>
      </rPr>
      <t xml:space="preserve"> krav</t>
    </r>
  </si>
  <si>
    <t>SEGES, Husdyrinnovation</t>
  </si>
  <si>
    <t>Marts</t>
  </si>
  <si>
    <t>Ellers uændret fra oktober 2016-version</t>
  </si>
  <si>
    <t>Regneark til 1. gangs anmeldelse ifølge $30(tidl.§32) for godkendelser basis DE-definition fra 2002</t>
  </si>
  <si>
    <t>SEGES, version marts 2017, faglig ansvarlig er Per Tybirk, tlf. 87405361</t>
  </si>
  <si>
    <t>Beregningen gælder kun, hvis krav til ammoniak og lugt lever op til teksten i §30</t>
  </si>
  <si>
    <t>Ifølge bekendtgørelse nr 211 skal der i § 30 ikke længere tages hensyn til stigende husdyrtryk og fosforkrav til arealerne.</t>
  </si>
  <si>
    <t>Disse krav erstattes af den generelle arealregulering.</t>
  </si>
  <si>
    <r>
      <t xml:space="preserve">Regneark til 2. gangs anmeldelse ifølge $30 (tidl. §32) </t>
    </r>
    <r>
      <rPr>
        <b/>
        <sz val="12"/>
        <color indexed="8"/>
        <rFont val="Calibri"/>
        <family val="2"/>
      </rPr>
      <t>(for godkendelser basis DE-definition fra 2002, som har anmeldt udvidelse til 2010-def.)</t>
    </r>
  </si>
  <si>
    <t>Kontrolberegninger af ammoniak, lugt mm kan ske i faneblad for §29, selv om der ikke skiftes dyretype, hvis dette er påkrævet pga. naboer eller følsom natur</t>
  </si>
  <si>
    <t>2006/07</t>
  </si>
  <si>
    <t>2007/08</t>
  </si>
  <si>
    <t>2008/09+</t>
  </si>
  <si>
    <t>SEGES, marts 2017. Ansvarlig Per Tybirk 87405361</t>
  </si>
  <si>
    <t>bruge  ark</t>
  </si>
  <si>
    <t>til andre</t>
  </si>
  <si>
    <t xml:space="preserve">formål </t>
  </si>
  <si>
    <t>for at kunne</t>
  </si>
  <si>
    <t>Antal tilladt i anmeldt vægtinterval, 2017</t>
  </si>
  <si>
    <t>Max tilladt anmeldt, 2017</t>
  </si>
  <si>
    <t>Anmeldt vægtinterval, 2017</t>
  </si>
  <si>
    <t>til max for</t>
  </si>
  <si>
    <t>N og P ab dyr</t>
  </si>
  <si>
    <t>N og P ab lager</t>
  </si>
  <si>
    <t>el DE</t>
  </si>
  <si>
    <t>Ejendom/svineproducent:</t>
  </si>
  <si>
    <r>
      <t xml:space="preserve">Søer </t>
    </r>
    <r>
      <rPr>
        <b/>
        <sz val="11"/>
        <color indexed="8"/>
        <rFont val="Calibri"/>
        <family val="2"/>
      </rPr>
      <t xml:space="preserve">kan </t>
    </r>
    <r>
      <rPr>
        <sz val="11"/>
        <color theme="1"/>
        <rFont val="Calibri"/>
        <family val="2"/>
      </rPr>
      <t>begrænses af egne tal både for N ab dyr og P ab dyr afhængig af ansøgningens tal</t>
    </r>
  </si>
  <si>
    <t>For søer godkendt basis normtal, begrænses udvidelsen af N ab dyr, bortset fra godkendelser i 2007/08, hvor det er P ab dyr.</t>
  </si>
  <si>
    <t>normtal</t>
  </si>
  <si>
    <t>Max ifølge egne tal N:</t>
  </si>
  <si>
    <t>Max ifølge egne tal-P:</t>
  </si>
  <si>
    <t>Gælder ved anmeldelser basis 2016/17 normtal for godkendelser fra januar 2007 til april 2011</t>
  </si>
  <si>
    <r>
      <t xml:space="preserve">Smågrise </t>
    </r>
    <r>
      <rPr>
        <b/>
        <sz val="11"/>
        <color indexed="8"/>
        <rFont val="Calibri"/>
        <family val="2"/>
      </rPr>
      <t xml:space="preserve">kan </t>
    </r>
    <r>
      <rPr>
        <sz val="11"/>
        <color theme="1"/>
        <rFont val="Calibri"/>
        <family val="2"/>
      </rPr>
      <t>begrænses af egne tal både for N ab dyr og P ab dyr afhængig af ansøgningens tal</t>
    </r>
  </si>
  <si>
    <t>Begrænsende faktor</t>
  </si>
  <si>
    <t>P, 06/07</t>
  </si>
  <si>
    <t>P, 08/09</t>
  </si>
  <si>
    <t>N, 05/06</t>
  </si>
  <si>
    <t>2007-11</t>
  </si>
  <si>
    <t>P, 07/08</t>
  </si>
  <si>
    <t>Max godkendt 2006/07</t>
  </si>
  <si>
    <t>Max godkendt 2007/08</t>
  </si>
  <si>
    <t>Max godkendt 2008/09+</t>
  </si>
  <si>
    <t>Indtast aktuelt tal eller nul i gule felter</t>
  </si>
  <si>
    <t>Max tilladt årssøer, 2017</t>
  </si>
  <si>
    <t>Bemærk, at man kan omfordele udvidelse af søer og smågrise ved hjælp af §29 skift af dyretype</t>
  </si>
  <si>
    <t>Bemærk, at arealrelaterede begrænsninger  i relation til husdyrtryk eller fosforfølsomhed er bortfaldet</t>
  </si>
  <si>
    <t>Udvidelsesmuligheder, anmeldeordning, §31 (tidligere §33), fra marts 2017</t>
  </si>
  <si>
    <t>Grundlaget er max samme N og P ab dyr som godkendt</t>
  </si>
  <si>
    <t>Bemærk, at slagtesvin ikke kan bruge denne ordning længere pga. kravet om max for P ab dyr</t>
  </si>
  <si>
    <t>Et krav som genopstod, fordi man i den nye bekendtgørelse slettede de undtagelsesmuligheder</t>
  </si>
  <si>
    <t>BAT for fosfor - eller max 30 kg fosfor pr ha - eller specielle krav til P pr ha i fosforfølsomme områder.</t>
  </si>
  <si>
    <t>for kravet om uændret P ab dyr, der har været brugt de sidste 3 år, i form af krav til</t>
  </si>
  <si>
    <t>Fosforberegninger har brugt normtal 2006/07 indtil 1/10-2007, derefter normtal 2007/08 og fra 1/10-2008 normtal 2008/09</t>
  </si>
  <si>
    <t>Der blev ikke opdateret normtal i husdyrgodkendelse.dk i perioden 1/10-2008 - april 2011.</t>
  </si>
  <si>
    <r>
      <t xml:space="preserve">Generel forklaring: </t>
    </r>
    <r>
      <rPr>
        <sz val="11"/>
        <color theme="1"/>
        <rFont val="Calibri"/>
        <family val="2"/>
      </rPr>
      <t>N-beregninger i godkendelser er basis 2005/06 normtal for N i hele perioden januar 2007 til april 2011</t>
    </r>
  </si>
  <si>
    <t>Godkendelsegrundlag:</t>
  </si>
  <si>
    <t>med startvægt, kg</t>
  </si>
  <si>
    <t>og slutvægt, kg</t>
  </si>
  <si>
    <t>Max tilladt antal, 2017+</t>
  </si>
  <si>
    <t>Godkendt år</t>
  </si>
  <si>
    <t>godkendte vægte</t>
  </si>
  <si>
    <t>Der skrives 0 i råprotein og/eller fosfor, hvis der ikke er vilkår hertil.</t>
  </si>
  <si>
    <t>Er der kun brugt normtal er fosfor mest begrænsende, bortset fra godkendelser i 2007/08, hvor N er begrænsende</t>
  </si>
  <si>
    <t xml:space="preserve">Fra marts 2017 ikke krav om max for N og P </t>
  </si>
  <si>
    <t>220 kg/so i gammel FMK vejledning</t>
  </si>
  <si>
    <t>kan skyldes afrundinger til 2 decimaler</t>
  </si>
  <si>
    <t>Evt. små afvigelser fra husdyrgodkendelse.dk</t>
  </si>
  <si>
    <t>NH3-ford</t>
  </si>
  <si>
    <t>kg/dyr</t>
  </si>
  <si>
    <t>Anvender normtal 2016/17 for ammoniak både før og efter</t>
  </si>
  <si>
    <t>60 LE/1000 kg = 13,2 LE pr so ved 220 kg pr  so</t>
  </si>
  <si>
    <t>I gammel FMK vejledning</t>
  </si>
  <si>
    <t>Indtastningsfaneblad § 29, udskriv fra udskriftsfaneblad hertil!</t>
  </si>
  <si>
    <t>indskrives på udskriftsfaneblad !</t>
  </si>
  <si>
    <t>Ikke slettet</t>
  </si>
  <si>
    <t>Udskrift fra regneark til skift af dyretype, § 29 (tidligere § 31)</t>
  </si>
  <si>
    <r>
      <t xml:space="preserve">I alt hele produktion, overskridelser er </t>
    </r>
    <r>
      <rPr>
        <b/>
        <sz val="11"/>
        <color indexed="10"/>
        <rFont val="Calibri"/>
        <family val="2"/>
      </rPr>
      <t>røde, dog kun NH3 og lugt begrænsende!</t>
    </r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</si>
</sst>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000000"/>
    <numFmt numFmtId="172" formatCode="0.00000000000"/>
    <numFmt numFmtId="173" formatCode="0.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5"/>
      <name val="Calibri"/>
      <family val="2"/>
    </font>
    <font>
      <b/>
      <sz val="1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ED64A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3" applyNumberFormat="0" applyAlignment="0" applyProtection="0"/>
    <xf numFmtId="0" fontId="43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0" fontId="0" fillId="33" borderId="0" xfId="0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0" fontId="51" fillId="0" borderId="0" xfId="0" applyFont="1" applyFill="1" applyAlignment="1">
      <alignment/>
    </xf>
    <xf numFmtId="170" fontId="53" fillId="33" borderId="0" xfId="0" applyNumberFormat="1" applyFont="1" applyFill="1" applyAlignment="1" applyProtection="1">
      <alignment horizontal="center"/>
      <protection locked="0"/>
    </xf>
    <xf numFmtId="0" fontId="36" fillId="0" borderId="0" xfId="0" applyFont="1" applyFill="1" applyAlignment="1">
      <alignment/>
    </xf>
    <xf numFmtId="0" fontId="0" fillId="7" borderId="0" xfId="0" applyFill="1" applyAlignment="1">
      <alignment/>
    </xf>
    <xf numFmtId="0" fontId="51" fillId="16" borderId="0" xfId="0" applyFont="1" applyFill="1" applyAlignment="1">
      <alignment/>
    </xf>
    <xf numFmtId="0" fontId="5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0" fontId="0" fillId="4" borderId="0" xfId="0" applyNumberFormat="1" applyFill="1" applyAlignment="1">
      <alignment horizontal="center"/>
    </xf>
    <xf numFmtId="0" fontId="51" fillId="7" borderId="0" xfId="0" applyFont="1" applyFill="1" applyAlignment="1">
      <alignment/>
    </xf>
    <xf numFmtId="0" fontId="0" fillId="7" borderId="0" xfId="0" applyFill="1" applyAlignment="1">
      <alignment horizontal="center"/>
    </xf>
    <xf numFmtId="170" fontId="0" fillId="7" borderId="0" xfId="0" applyNumberFormat="1" applyFill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54" fillId="0" borderId="0" xfId="0" applyFont="1" applyAlignment="1">
      <alignment/>
    </xf>
    <xf numFmtId="0" fontId="0" fillId="4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1" fontId="51" fillId="34" borderId="0" xfId="0" applyNumberFormat="1" applyFon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5" fillId="0" borderId="0" xfId="0" applyFont="1" applyAlignment="1">
      <alignment/>
    </xf>
    <xf numFmtId="170" fontId="0" fillId="4" borderId="0" xfId="0" applyNumberFormat="1" applyFill="1" applyAlignment="1">
      <alignment/>
    </xf>
    <xf numFmtId="0" fontId="36" fillId="0" borderId="0" xfId="0" applyFont="1" applyAlignment="1">
      <alignment/>
    </xf>
    <xf numFmtId="0" fontId="56" fillId="12" borderId="0" xfId="0" applyFont="1" applyFill="1" applyAlignment="1">
      <alignment/>
    </xf>
    <xf numFmtId="0" fontId="0" fillId="12" borderId="0" xfId="0" applyFill="1" applyAlignment="1">
      <alignment/>
    </xf>
    <xf numFmtId="0" fontId="51" fillId="12" borderId="0" xfId="0" applyFont="1" applyFill="1" applyAlignment="1">
      <alignment/>
    </xf>
    <xf numFmtId="0" fontId="56" fillId="7" borderId="0" xfId="0" applyFont="1" applyFill="1" applyAlignment="1">
      <alignment/>
    </xf>
    <xf numFmtId="170" fontId="0" fillId="7" borderId="0" xfId="0" applyNumberFormat="1" applyFill="1" applyAlignment="1">
      <alignment/>
    </xf>
    <xf numFmtId="0" fontId="0" fillId="6" borderId="0" xfId="0" applyFill="1" applyAlignment="1">
      <alignment/>
    </xf>
    <xf numFmtId="0" fontId="51" fillId="6" borderId="0" xfId="0" applyFont="1" applyFill="1" applyAlignment="1">
      <alignment/>
    </xf>
    <xf numFmtId="0" fontId="56" fillId="4" borderId="0" xfId="0" applyFont="1" applyFill="1" applyAlignment="1">
      <alignment/>
    </xf>
    <xf numFmtId="170" fontId="0" fillId="10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170" fontId="0" fillId="13" borderId="0" xfId="0" applyNumberFormat="1" applyFill="1" applyAlignment="1">
      <alignment horizontal="center"/>
    </xf>
    <xf numFmtId="170" fontId="0" fillId="19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70" fontId="0" fillId="33" borderId="0" xfId="0" applyNumberFormat="1" applyFill="1" applyAlignment="1" applyProtection="1">
      <alignment horizontal="center"/>
      <protection locked="0"/>
    </xf>
    <xf numFmtId="0" fontId="0" fillId="18" borderId="0" xfId="0" applyFill="1" applyAlignment="1">
      <alignment horizontal="center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51" fillId="19" borderId="0" xfId="0" applyFont="1" applyFill="1" applyAlignment="1">
      <alignment/>
    </xf>
    <xf numFmtId="0" fontId="0" fillId="6" borderId="0" xfId="0" applyFill="1" applyAlignment="1">
      <alignment horizontal="center"/>
    </xf>
    <xf numFmtId="0" fontId="36" fillId="6" borderId="0" xfId="0" applyFont="1" applyFill="1" applyAlignment="1">
      <alignment horizontal="center"/>
    </xf>
    <xf numFmtId="0" fontId="36" fillId="12" borderId="0" xfId="0" applyFont="1" applyFill="1" applyAlignment="1">
      <alignment horizontal="center"/>
    </xf>
    <xf numFmtId="0" fontId="54" fillId="12" borderId="0" xfId="0" applyFont="1" applyFill="1" applyAlignment="1">
      <alignment/>
    </xf>
    <xf numFmtId="0" fontId="51" fillId="18" borderId="0" xfId="0" applyFont="1" applyFill="1" applyAlignment="1">
      <alignment/>
    </xf>
    <xf numFmtId="0" fontId="36" fillId="18" borderId="0" xfId="0" applyFont="1" applyFill="1" applyAlignment="1">
      <alignment horizontal="center"/>
    </xf>
    <xf numFmtId="0" fontId="26" fillId="12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36" fillId="6" borderId="0" xfId="0" applyFont="1" applyFill="1" applyAlignment="1">
      <alignment/>
    </xf>
    <xf numFmtId="0" fontId="0" fillId="16" borderId="0" xfId="0" applyFill="1" applyAlignment="1">
      <alignment horizontal="center"/>
    </xf>
    <xf numFmtId="170" fontId="0" fillId="16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0" fontId="51" fillId="13" borderId="0" xfId="0" applyFont="1" applyFill="1" applyAlignment="1">
      <alignment/>
    </xf>
    <xf numFmtId="0" fontId="51" fillId="10" borderId="0" xfId="0" applyFont="1" applyFill="1" applyAlignment="1">
      <alignment/>
    </xf>
    <xf numFmtId="170" fontId="0" fillId="19" borderId="0" xfId="0" applyNumberFormat="1" applyFill="1" applyAlignment="1">
      <alignment/>
    </xf>
    <xf numFmtId="170" fontId="0" fillId="34" borderId="0" xfId="0" applyNumberFormat="1" applyFill="1" applyAlignment="1">
      <alignment horizontal="center"/>
    </xf>
    <xf numFmtId="1" fontId="51" fillId="34" borderId="0" xfId="0" applyNumberFormat="1" applyFont="1" applyFill="1" applyAlignment="1">
      <alignment/>
    </xf>
    <xf numFmtId="0" fontId="26" fillId="18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170" fontId="0" fillId="34" borderId="0" xfId="0" applyNumberFormat="1" applyFill="1" applyAlignment="1">
      <alignment/>
    </xf>
    <xf numFmtId="170" fontId="0" fillId="20" borderId="0" xfId="0" applyNumberFormat="1" applyFill="1" applyAlignment="1">
      <alignment horizontal="center"/>
    </xf>
    <xf numFmtId="0" fontId="0" fillId="20" borderId="0" xfId="0" applyFill="1" applyAlignment="1">
      <alignment horizontal="center"/>
    </xf>
    <xf numFmtId="170" fontId="0" fillId="20" borderId="0" xfId="0" applyNumberFormat="1" applyFill="1" applyAlignment="1">
      <alignment horizontal="left"/>
    </xf>
    <xf numFmtId="0" fontId="0" fillId="20" borderId="0" xfId="0" applyFill="1" applyAlignment="1">
      <alignment/>
    </xf>
    <xf numFmtId="0" fontId="26" fillId="20" borderId="0" xfId="0" applyFont="1" applyFill="1" applyAlignment="1">
      <alignment/>
    </xf>
    <xf numFmtId="165" fontId="26" fillId="6" borderId="0" xfId="0" applyNumberFormat="1" applyFont="1" applyFill="1" applyAlignment="1">
      <alignment horizontal="center"/>
    </xf>
    <xf numFmtId="2" fontId="26" fillId="6" borderId="0" xfId="0" applyNumberFormat="1" applyFont="1" applyFill="1" applyAlignment="1">
      <alignment horizontal="center"/>
    </xf>
    <xf numFmtId="2" fontId="26" fillId="12" borderId="0" xfId="0" applyNumberFormat="1" applyFont="1" applyFill="1" applyAlignment="1">
      <alignment horizontal="center"/>
    </xf>
    <xf numFmtId="165" fontId="26" fillId="12" borderId="0" xfId="0" applyNumberFormat="1" applyFont="1" applyFill="1" applyAlignment="1">
      <alignment horizontal="center"/>
    </xf>
    <xf numFmtId="170" fontId="26" fillId="7" borderId="0" xfId="0" applyNumberFormat="1" applyFont="1" applyFill="1" applyAlignment="1">
      <alignment horizontal="center"/>
    </xf>
    <xf numFmtId="170" fontId="26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6" fillId="0" borderId="0" xfId="0" applyFont="1" applyFill="1" applyAlignment="1">
      <alignment horizontal="center"/>
    </xf>
    <xf numFmtId="0" fontId="57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51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170" fontId="0" fillId="0" borderId="0" xfId="0" applyNumberFormat="1" applyFill="1" applyAlignment="1">
      <alignment/>
    </xf>
    <xf numFmtId="0" fontId="56" fillId="0" borderId="0" xfId="0" applyFont="1" applyAlignment="1">
      <alignment/>
    </xf>
    <xf numFmtId="0" fontId="0" fillId="8" borderId="0" xfId="0" applyFill="1" applyAlignment="1">
      <alignment/>
    </xf>
    <xf numFmtId="0" fontId="26" fillId="8" borderId="0" xfId="0" applyFont="1" applyFill="1" applyAlignment="1">
      <alignment horizontal="left"/>
    </xf>
    <xf numFmtId="0" fontId="26" fillId="8" borderId="0" xfId="0" applyFont="1" applyFill="1" applyAlignment="1">
      <alignment horizontal="center"/>
    </xf>
    <xf numFmtId="0" fontId="26" fillId="8" borderId="0" xfId="0" applyFont="1" applyFill="1" applyAlignment="1">
      <alignment/>
    </xf>
    <xf numFmtId="0" fontId="58" fillId="8" borderId="0" xfId="0" applyFont="1" applyFill="1" applyAlignment="1">
      <alignment/>
    </xf>
    <xf numFmtId="0" fontId="59" fillId="0" borderId="0" xfId="0" applyFont="1" applyFill="1" applyAlignment="1">
      <alignment/>
    </xf>
    <xf numFmtId="2" fontId="0" fillId="0" borderId="0" xfId="0" applyNumberFormat="1" applyFill="1" applyAlignment="1">
      <alignment horizontal="left"/>
    </xf>
    <xf numFmtId="0" fontId="56" fillId="0" borderId="0" xfId="0" applyFont="1" applyFill="1" applyAlignment="1">
      <alignment/>
    </xf>
    <xf numFmtId="170" fontId="51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35" borderId="0" xfId="0" applyFill="1" applyAlignment="1" applyProtection="1">
      <alignment horizontal="center"/>
      <protection locked="0"/>
    </xf>
    <xf numFmtId="2" fontId="0" fillId="36" borderId="0" xfId="0" applyNumberFormat="1" applyFill="1" applyAlignment="1">
      <alignment horizontal="center"/>
    </xf>
    <xf numFmtId="1" fontId="0" fillId="36" borderId="0" xfId="0" applyNumberFormat="1" applyFill="1" applyAlignment="1">
      <alignment horizontal="center"/>
    </xf>
    <xf numFmtId="1" fontId="0" fillId="35" borderId="0" xfId="0" applyNumberFormat="1" applyFill="1" applyAlignment="1" applyProtection="1">
      <alignment horizontal="center"/>
      <protection locked="0"/>
    </xf>
    <xf numFmtId="1" fontId="51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60" fillId="0" borderId="0" xfId="0" applyFont="1" applyAlignment="1">
      <alignment/>
    </xf>
    <xf numFmtId="1" fontId="51" fillId="0" borderId="0" xfId="0" applyNumberFormat="1" applyFont="1" applyFill="1" applyAlignment="1">
      <alignment/>
    </xf>
    <xf numFmtId="0" fontId="26" fillId="12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17" fontId="26" fillId="8" borderId="0" xfId="0" applyNumberFormat="1" applyFont="1" applyFill="1" applyAlignment="1">
      <alignment horizontal="left"/>
    </xf>
    <xf numFmtId="17" fontId="0" fillId="8" borderId="0" xfId="0" applyNumberFormat="1" applyFill="1" applyAlignment="1">
      <alignment horizontal="left"/>
    </xf>
    <xf numFmtId="0" fontId="0" fillId="8" borderId="0" xfId="0" applyFill="1" applyAlignment="1">
      <alignment horizont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2" fontId="0" fillId="0" borderId="0" xfId="0" applyNumberFormat="1" applyFill="1" applyAlignment="1" applyProtection="1">
      <alignment horizontal="center"/>
      <protection locked="0"/>
    </xf>
    <xf numFmtId="2" fontId="36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51" fillId="8" borderId="0" xfId="0" applyFont="1" applyFill="1" applyAlignment="1">
      <alignment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/>
    </xf>
    <xf numFmtId="2" fontId="0" fillId="34" borderId="0" xfId="0" applyNumberFormat="1" applyFill="1" applyAlignment="1">
      <alignment horizontal="center"/>
    </xf>
    <xf numFmtId="170" fontId="0" fillId="36" borderId="0" xfId="0" applyNumberFormat="1" applyFill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 locked="0"/>
    </xf>
    <xf numFmtId="2" fontId="0" fillId="36" borderId="0" xfId="0" applyNumberFormat="1" applyFill="1" applyAlignment="1" applyProtection="1">
      <alignment horizontal="center"/>
      <protection/>
    </xf>
    <xf numFmtId="0" fontId="0" fillId="27" borderId="0" xfId="0" applyFill="1" applyAlignment="1">
      <alignment/>
    </xf>
    <xf numFmtId="0" fontId="0" fillId="34" borderId="0" xfId="0" applyFill="1" applyAlignment="1" applyProtection="1">
      <alignment horizontal="center"/>
      <protection/>
    </xf>
    <xf numFmtId="0" fontId="53" fillId="33" borderId="0" xfId="0" applyFont="1" applyFill="1" applyAlignment="1" applyProtection="1">
      <alignment horizontal="center"/>
      <protection locked="0"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1" fontId="51" fillId="34" borderId="0" xfId="0" applyNumberFormat="1" applyFont="1" applyFill="1" applyAlignment="1" applyProtection="1">
      <alignment/>
      <protection/>
    </xf>
    <xf numFmtId="2" fontId="26" fillId="34" borderId="0" xfId="0" applyNumberFormat="1" applyFont="1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70" fontId="26" fillId="39" borderId="0" xfId="0" applyNumberFormat="1" applyFont="1" applyFill="1" applyAlignment="1" applyProtection="1">
      <alignment horizontal="center"/>
      <protection/>
    </xf>
    <xf numFmtId="1" fontId="26" fillId="4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70" fontId="0" fillId="39" borderId="0" xfId="0" applyNumberFormat="1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1" fontId="26" fillId="0" borderId="0" xfId="0" applyNumberFormat="1" applyFont="1" applyFill="1" applyAlignment="1" applyProtection="1">
      <alignment horizontal="center"/>
      <protection/>
    </xf>
    <xf numFmtId="0" fontId="54" fillId="0" borderId="0" xfId="0" applyFont="1" applyFill="1" applyAlignment="1" applyProtection="1">
      <alignment/>
      <protection/>
    </xf>
    <xf numFmtId="2" fontId="26" fillId="0" borderId="0" xfId="0" applyNumberFormat="1" applyFont="1" applyFill="1" applyAlignment="1" applyProtection="1">
      <alignment horizontal="center"/>
      <protection/>
    </xf>
    <xf numFmtId="170" fontId="26" fillId="0" borderId="0" xfId="0" applyNumberFormat="1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8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4" fillId="33" borderId="0" xfId="0" applyFont="1" applyFill="1" applyAlignment="1" applyProtection="1">
      <alignment horizontal="center"/>
      <protection locked="0"/>
    </xf>
    <xf numFmtId="170" fontId="64" fillId="33" borderId="0" xfId="0" applyNumberFormat="1" applyFont="1" applyFill="1" applyAlignment="1" applyProtection="1">
      <alignment horizontal="center"/>
      <protection locked="0"/>
    </xf>
    <xf numFmtId="0" fontId="0" fillId="13" borderId="0" xfId="0" applyFill="1" applyAlignment="1" applyProtection="1">
      <alignment horizontal="center"/>
      <protection/>
    </xf>
    <xf numFmtId="0" fontId="64" fillId="34" borderId="0" xfId="0" applyFont="1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5" fontId="26" fillId="0" borderId="0" xfId="0" applyNumberFormat="1" applyFont="1" applyFill="1" applyAlignment="1" applyProtection="1">
      <alignment horizontal="center"/>
      <protection/>
    </xf>
    <xf numFmtId="165" fontId="0" fillId="34" borderId="0" xfId="0" applyNumberFormat="1" applyFill="1" applyAlignment="1" applyProtection="1">
      <alignment horizontal="center"/>
      <protection/>
    </xf>
    <xf numFmtId="1" fontId="26" fillId="39" borderId="0" xfId="0" applyNumberFormat="1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165" fontId="26" fillId="34" borderId="0" xfId="0" applyNumberFormat="1" applyFont="1" applyFill="1" applyAlignment="1" applyProtection="1">
      <alignment horizontal="center"/>
      <protection/>
    </xf>
    <xf numFmtId="170" fontId="51" fillId="34" borderId="0" xfId="0" applyNumberFormat="1" applyFont="1" applyFill="1" applyAlignment="1" applyProtection="1">
      <alignment/>
      <protection/>
    </xf>
    <xf numFmtId="170" fontId="26" fillId="34" borderId="0" xfId="0" applyNumberFormat="1" applyFont="1" applyFill="1" applyAlignment="1" applyProtection="1">
      <alignment horizontal="center"/>
      <protection/>
    </xf>
    <xf numFmtId="170" fontId="0" fillId="0" borderId="0" xfId="0" applyNumberFormat="1" applyFill="1" applyAlignment="1" applyProtection="1">
      <alignment horizontal="center"/>
      <protection/>
    </xf>
    <xf numFmtId="0" fontId="51" fillId="12" borderId="0" xfId="0" applyFont="1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0" fillId="12" borderId="0" xfId="0" applyFill="1" applyAlignment="1" applyProtection="1">
      <alignment/>
      <protection locked="0"/>
    </xf>
    <xf numFmtId="170" fontId="0" fillId="0" borderId="0" xfId="0" applyNumberFormat="1" applyAlignment="1" applyProtection="1">
      <alignment horizontal="center"/>
      <protection/>
    </xf>
    <xf numFmtId="0" fontId="53" fillId="13" borderId="0" xfId="0" applyFont="1" applyFill="1" applyAlignment="1" applyProtection="1">
      <alignment horizontal="left"/>
      <protection/>
    </xf>
    <xf numFmtId="0" fontId="53" fillId="13" borderId="0" xfId="0" applyFont="1" applyFill="1" applyAlignment="1" applyProtection="1">
      <alignment horizontal="center"/>
      <protection/>
    </xf>
    <xf numFmtId="0" fontId="58" fillId="33" borderId="0" xfId="0" applyFont="1" applyFill="1" applyAlignment="1" applyProtection="1">
      <alignment/>
      <protection/>
    </xf>
    <xf numFmtId="0" fontId="51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6" borderId="0" xfId="0" applyFill="1" applyAlignment="1">
      <alignment/>
    </xf>
    <xf numFmtId="0" fontId="0" fillId="18" borderId="0" xfId="0" applyFill="1" applyAlignment="1">
      <alignment/>
    </xf>
    <xf numFmtId="0" fontId="0" fillId="40" borderId="0" xfId="0" applyFill="1" applyAlignment="1">
      <alignment/>
    </xf>
    <xf numFmtId="0" fontId="0" fillId="16" borderId="0" xfId="0" applyFill="1" applyAlignment="1">
      <alignment/>
    </xf>
    <xf numFmtId="0" fontId="51" fillId="34" borderId="0" xfId="0" applyFont="1" applyFill="1" applyAlignment="1">
      <alignment/>
    </xf>
    <xf numFmtId="0" fontId="51" fillId="12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17" fontId="26" fillId="33" borderId="0" xfId="0" applyNumberFormat="1" applyFont="1" applyFill="1" applyAlignment="1" applyProtection="1">
      <alignment horizontal="left"/>
      <protection/>
    </xf>
    <xf numFmtId="17" fontId="0" fillId="33" borderId="0" xfId="0" applyNumberFormat="1" applyFill="1" applyAlignment="1" applyProtection="1">
      <alignment horizontal="left"/>
      <protection/>
    </xf>
    <xf numFmtId="0" fontId="0" fillId="36" borderId="0" xfId="0" applyFill="1" applyAlignment="1">
      <alignment horizontal="center"/>
    </xf>
    <xf numFmtId="0" fontId="27" fillId="8" borderId="0" xfId="0" applyFont="1" applyFill="1" applyAlignment="1">
      <alignment horizontal="left"/>
    </xf>
    <xf numFmtId="0" fontId="51" fillId="36" borderId="0" xfId="0" applyFont="1" applyFill="1" applyAlignment="1">
      <alignment/>
    </xf>
    <xf numFmtId="0" fontId="51" fillId="34" borderId="0" xfId="0" applyFont="1" applyFill="1" applyAlignment="1">
      <alignment horizontal="center"/>
    </xf>
    <xf numFmtId="0" fontId="51" fillId="36" borderId="0" xfId="0" applyFont="1" applyFill="1" applyAlignment="1">
      <alignment horizontal="center"/>
    </xf>
    <xf numFmtId="170" fontId="0" fillId="12" borderId="0" xfId="0" applyNumberFormat="1" applyFill="1" applyAlignment="1">
      <alignment horizontal="center"/>
    </xf>
    <xf numFmtId="0" fontId="0" fillId="36" borderId="0" xfId="0" applyFill="1" applyAlignment="1">
      <alignment horizontal="left"/>
    </xf>
    <xf numFmtId="0" fontId="51" fillId="18" borderId="0" xfId="0" applyFont="1" applyFill="1" applyAlignment="1">
      <alignment horizontal="center"/>
    </xf>
    <xf numFmtId="170" fontId="0" fillId="18" borderId="0" xfId="0" applyNumberFormat="1" applyFill="1" applyAlignment="1">
      <alignment horizontal="center"/>
    </xf>
    <xf numFmtId="0" fontId="0" fillId="34" borderId="0" xfId="0" applyFill="1" applyAlignment="1">
      <alignment horizontal="left"/>
    </xf>
    <xf numFmtId="0" fontId="51" fillId="16" borderId="0" xfId="0" applyFont="1" applyFill="1" applyAlignment="1">
      <alignment horizontal="center"/>
    </xf>
    <xf numFmtId="0" fontId="51" fillId="41" borderId="0" xfId="0" applyFont="1" applyFill="1" applyAlignment="1">
      <alignment/>
    </xf>
    <xf numFmtId="0" fontId="0" fillId="41" borderId="0" xfId="0" applyFill="1" applyAlignment="1">
      <alignment horizontal="center"/>
    </xf>
    <xf numFmtId="0" fontId="51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170" fontId="0" fillId="41" borderId="0" xfId="0" applyNumberFormat="1" applyFill="1" applyAlignment="1">
      <alignment horizontal="center"/>
    </xf>
    <xf numFmtId="0" fontId="65" fillId="42" borderId="0" xfId="0" applyFont="1" applyFill="1" applyAlignment="1">
      <alignment/>
    </xf>
    <xf numFmtId="0" fontId="35" fillId="42" borderId="0" xfId="0" applyFont="1" applyFill="1" applyAlignment="1">
      <alignment/>
    </xf>
    <xf numFmtId="0" fontId="65" fillId="40" borderId="0" xfId="0" applyFont="1" applyFill="1" applyAlignment="1">
      <alignment/>
    </xf>
    <xf numFmtId="170" fontId="51" fillId="36" borderId="0" xfId="0" applyNumberFormat="1" applyFont="1" applyFill="1" applyAlignment="1">
      <alignment horizontal="center"/>
    </xf>
    <xf numFmtId="170" fontId="51" fillId="34" borderId="0" xfId="0" applyNumberFormat="1" applyFont="1" applyFill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70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169" fontId="0" fillId="38" borderId="0" xfId="0" applyNumberFormat="1" applyFill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0">
      <selection activeCell="K25" sqref="K24:K25"/>
    </sheetView>
  </sheetViews>
  <sheetFormatPr defaultColWidth="9.140625" defaultRowHeight="15"/>
  <cols>
    <col min="1" max="1" width="23.28125" style="0" customWidth="1"/>
    <col min="4" max="4" width="9.7109375" style="0" customWidth="1"/>
    <col min="7" max="8" width="9.28125" style="0" customWidth="1"/>
    <col min="12" max="12" width="10.57421875" style="0" customWidth="1"/>
    <col min="14" max="14" width="10.421875" style="0" customWidth="1"/>
  </cols>
  <sheetData>
    <row r="1" spans="1:14" ht="23.25">
      <c r="A1" s="33" t="s">
        <v>237</v>
      </c>
      <c r="I1" s="197" t="s">
        <v>190</v>
      </c>
      <c r="J1" s="196"/>
      <c r="K1" s="196"/>
      <c r="L1" s="2"/>
      <c r="M1" s="3"/>
      <c r="N1" s="3"/>
    </row>
    <row r="2" spans="1:14" ht="14.25">
      <c r="A2" s="2" t="s">
        <v>162</v>
      </c>
      <c r="B2" s="2"/>
      <c r="C2" s="2"/>
      <c r="D2" s="2"/>
      <c r="E2" s="2"/>
      <c r="F2" s="2"/>
      <c r="G2" s="2"/>
      <c r="H2" s="2"/>
      <c r="I2" s="151" t="s">
        <v>238</v>
      </c>
      <c r="J2" s="204"/>
      <c r="K2" s="205"/>
      <c r="L2" s="151"/>
      <c r="M2" s="3"/>
      <c r="N2" s="3"/>
    </row>
    <row r="3" spans="1:14" ht="18">
      <c r="A3" s="36" t="s">
        <v>158</v>
      </c>
      <c r="B3" s="37"/>
      <c r="C3" s="37"/>
      <c r="D3" s="120"/>
      <c r="E3" s="37"/>
      <c r="F3" s="37"/>
      <c r="G3" s="37"/>
      <c r="H3" s="45" t="s">
        <v>86</v>
      </c>
      <c r="I3" s="151"/>
      <c r="J3" s="204"/>
      <c r="K3" s="206"/>
      <c r="L3" s="151"/>
      <c r="M3" s="3"/>
      <c r="N3" s="3"/>
    </row>
    <row r="4" spans="1:14" ht="21">
      <c r="A4" s="57"/>
      <c r="B4" s="45" t="s">
        <v>45</v>
      </c>
      <c r="C4" s="45" t="s">
        <v>46</v>
      </c>
      <c r="D4" s="45" t="s">
        <v>87</v>
      </c>
      <c r="E4" s="45" t="s">
        <v>48</v>
      </c>
      <c r="F4" s="45" t="s">
        <v>49</v>
      </c>
      <c r="G4" s="45" t="s">
        <v>66</v>
      </c>
      <c r="H4" s="45" t="s">
        <v>68</v>
      </c>
      <c r="I4" s="151"/>
      <c r="J4" s="204"/>
      <c r="K4" s="207"/>
      <c r="L4" s="204"/>
      <c r="M4" s="32"/>
      <c r="N4" s="3"/>
    </row>
    <row r="5" spans="1:14" ht="14.25">
      <c r="A5" s="38"/>
      <c r="B5" s="45" t="s">
        <v>59</v>
      </c>
      <c r="C5" s="45" t="s">
        <v>59</v>
      </c>
      <c r="D5" s="45" t="s">
        <v>59</v>
      </c>
      <c r="E5" s="45" t="s">
        <v>59</v>
      </c>
      <c r="F5" s="45" t="s">
        <v>59</v>
      </c>
      <c r="G5" s="45" t="s">
        <v>67</v>
      </c>
      <c r="H5" s="45" t="s">
        <v>67</v>
      </c>
      <c r="I5" s="3"/>
      <c r="J5" s="91"/>
      <c r="K5" s="68"/>
      <c r="L5" s="67"/>
      <c r="M5" s="67"/>
      <c r="N5" s="76"/>
    </row>
    <row r="6" spans="1:14" ht="14.25">
      <c r="A6" s="42" t="s">
        <v>125</v>
      </c>
      <c r="B6" s="54"/>
      <c r="C6" s="54"/>
      <c r="D6" s="54"/>
      <c r="E6" s="54"/>
      <c r="F6" s="54"/>
      <c r="G6" s="54"/>
      <c r="H6" s="54"/>
      <c r="I6" s="122" t="s">
        <v>165</v>
      </c>
      <c r="J6" s="99"/>
      <c r="K6" s="99"/>
      <c r="L6" s="99"/>
      <c r="M6" s="32"/>
      <c r="N6" s="3"/>
    </row>
    <row r="7" spans="1:14" ht="14.25">
      <c r="A7" s="41" t="s">
        <v>41</v>
      </c>
      <c r="B7" s="61">
        <v>0.481</v>
      </c>
      <c r="C7" s="61">
        <v>0.45</v>
      </c>
      <c r="D7" s="61">
        <v>0.0352</v>
      </c>
      <c r="E7" s="61">
        <v>0.123</v>
      </c>
      <c r="F7" s="61">
        <v>0.124</v>
      </c>
      <c r="G7" s="54">
        <v>380</v>
      </c>
      <c r="H7" s="54">
        <v>210</v>
      </c>
      <c r="I7" s="123" t="s">
        <v>166</v>
      </c>
      <c r="J7" s="99">
        <v>2017</v>
      </c>
      <c r="K7" s="99"/>
      <c r="L7" s="99"/>
      <c r="M7" s="32"/>
      <c r="N7" s="3"/>
    </row>
    <row r="8" spans="1:14" ht="14.25">
      <c r="A8" s="41" t="s">
        <v>42</v>
      </c>
      <c r="B8" s="61">
        <v>0.481</v>
      </c>
      <c r="C8" s="61">
        <v>0.415</v>
      </c>
      <c r="D8" s="61">
        <v>0.0661</v>
      </c>
      <c r="E8" s="61">
        <v>0.123</v>
      </c>
      <c r="F8" s="61">
        <v>0.123</v>
      </c>
      <c r="G8" s="54">
        <v>380</v>
      </c>
      <c r="H8" s="54">
        <v>210</v>
      </c>
      <c r="I8" s="124" t="s">
        <v>228</v>
      </c>
      <c r="J8" s="125"/>
      <c r="K8" s="125"/>
      <c r="L8" s="99"/>
      <c r="M8" s="32"/>
      <c r="N8" s="3"/>
    </row>
    <row r="9" spans="1:14" ht="14.25">
      <c r="A9" s="38" t="s">
        <v>126</v>
      </c>
      <c r="B9" s="45"/>
      <c r="C9" s="45"/>
      <c r="D9" s="56"/>
      <c r="E9" s="45"/>
      <c r="F9" s="45"/>
      <c r="G9" s="45"/>
      <c r="H9" s="45"/>
      <c r="I9" s="100" t="s">
        <v>167</v>
      </c>
      <c r="J9" s="101"/>
      <c r="K9" s="101"/>
      <c r="L9" s="102"/>
      <c r="M9" s="32"/>
      <c r="N9" s="3"/>
    </row>
    <row r="10" spans="1:14" ht="14.25">
      <c r="A10" s="37" t="s">
        <v>39</v>
      </c>
      <c r="B10" s="60">
        <v>2.895</v>
      </c>
      <c r="C10" s="60">
        <v>2.62</v>
      </c>
      <c r="D10" s="60">
        <v>0.288</v>
      </c>
      <c r="E10" s="87">
        <v>0.642</v>
      </c>
      <c r="F10" s="60">
        <v>0.644</v>
      </c>
      <c r="G10" s="45">
        <v>300</v>
      </c>
      <c r="H10" s="45">
        <v>150</v>
      </c>
      <c r="I10" s="100" t="s">
        <v>134</v>
      </c>
      <c r="J10" s="125"/>
      <c r="K10" s="125"/>
      <c r="L10" s="99"/>
      <c r="M10" s="32"/>
      <c r="N10" s="3"/>
    </row>
    <row r="11" spans="1:14" ht="14.25">
      <c r="A11" s="37" t="s">
        <v>40</v>
      </c>
      <c r="B11" s="60">
        <v>2.895</v>
      </c>
      <c r="C11" s="60">
        <v>2.55</v>
      </c>
      <c r="D11" s="60">
        <v>0.363</v>
      </c>
      <c r="E11" s="87">
        <v>0.642</v>
      </c>
      <c r="F11" s="60">
        <v>0.644</v>
      </c>
      <c r="G11" s="45">
        <v>300</v>
      </c>
      <c r="H11" s="45">
        <v>150</v>
      </c>
      <c r="I11" s="3"/>
      <c r="J11" s="32"/>
      <c r="K11" s="77"/>
      <c r="L11" s="32"/>
      <c r="M11" s="3"/>
      <c r="N11" s="3"/>
    </row>
    <row r="12" spans="1:14" ht="14.25">
      <c r="A12" s="37" t="s">
        <v>123</v>
      </c>
      <c r="B12" s="60">
        <v>2.895</v>
      </c>
      <c r="C12" s="60">
        <v>2.46</v>
      </c>
      <c r="D12" s="60">
        <v>0.437</v>
      </c>
      <c r="E12" s="87">
        <v>0.642</v>
      </c>
      <c r="F12" s="60">
        <v>0.642</v>
      </c>
      <c r="G12" s="45">
        <v>450</v>
      </c>
      <c r="H12" s="60">
        <v>150</v>
      </c>
      <c r="I12" s="3"/>
      <c r="J12" s="32"/>
      <c r="K12" s="77"/>
      <c r="L12" s="32"/>
      <c r="M12" s="3"/>
      <c r="N12" s="3"/>
    </row>
    <row r="13" spans="1:14" ht="14.25">
      <c r="A13" s="58" t="s">
        <v>81</v>
      </c>
      <c r="B13" s="50">
        <v>24.19</v>
      </c>
      <c r="C13" s="50"/>
      <c r="D13" s="59"/>
      <c r="E13" s="75">
        <v>5.232</v>
      </c>
      <c r="F13" s="50"/>
      <c r="G13" s="50" t="s">
        <v>79</v>
      </c>
      <c r="H13" s="75" t="s">
        <v>73</v>
      </c>
      <c r="I13" s="76" t="s">
        <v>85</v>
      </c>
      <c r="J13" s="32"/>
      <c r="K13" s="77"/>
      <c r="L13" s="32"/>
      <c r="M13" s="3"/>
      <c r="N13" s="3"/>
    </row>
    <row r="14" spans="1:14" ht="14.25">
      <c r="A14" s="42" t="s">
        <v>80</v>
      </c>
      <c r="B14" s="54"/>
      <c r="C14" s="54"/>
      <c r="D14" s="55"/>
      <c r="E14" s="54"/>
      <c r="F14" s="54"/>
      <c r="G14" s="54"/>
      <c r="H14" s="61"/>
      <c r="I14" s="76" t="s">
        <v>229</v>
      </c>
      <c r="J14" s="32"/>
      <c r="K14" s="77"/>
      <c r="L14" s="32"/>
      <c r="M14" s="3"/>
      <c r="N14" s="3"/>
    </row>
    <row r="15" spans="1:14" ht="14.25">
      <c r="A15" s="41" t="s">
        <v>41</v>
      </c>
      <c r="B15" s="85">
        <f>B13*0.3</f>
        <v>7.257</v>
      </c>
      <c r="C15" s="85">
        <v>6.46</v>
      </c>
      <c r="D15" s="84">
        <v>0.811</v>
      </c>
      <c r="E15" s="84">
        <f>$E$13*0.3</f>
        <v>1.5696</v>
      </c>
      <c r="F15" s="61">
        <v>1.57</v>
      </c>
      <c r="G15" s="54">
        <v>72</v>
      </c>
      <c r="H15" s="61">
        <v>13.2</v>
      </c>
      <c r="I15" s="76"/>
      <c r="J15" s="32"/>
      <c r="K15" s="77"/>
      <c r="L15" s="32"/>
      <c r="M15" s="3"/>
      <c r="N15" s="3"/>
    </row>
    <row r="16" spans="1:14" ht="14.25">
      <c r="A16" s="41" t="s">
        <v>159</v>
      </c>
      <c r="B16" s="85">
        <f>B13*0.3</f>
        <v>7.257</v>
      </c>
      <c r="C16" s="61">
        <v>5.78</v>
      </c>
      <c r="D16" s="61">
        <v>1.492</v>
      </c>
      <c r="E16" s="84">
        <f>$E$13*0.3</f>
        <v>1.5696</v>
      </c>
      <c r="F16" s="61">
        <v>1.57</v>
      </c>
      <c r="G16" s="54">
        <v>100</v>
      </c>
      <c r="H16" s="61">
        <v>13.2</v>
      </c>
      <c r="I16" s="76"/>
      <c r="J16" s="32"/>
      <c r="K16" s="68"/>
      <c r="L16" s="32"/>
      <c r="M16" s="3"/>
      <c r="N16" s="3"/>
    </row>
    <row r="17" spans="1:14" ht="14.25">
      <c r="A17" s="38" t="s">
        <v>69</v>
      </c>
      <c r="B17" s="56"/>
      <c r="C17" s="56"/>
      <c r="D17" s="56"/>
      <c r="E17" s="56"/>
      <c r="F17" s="45"/>
      <c r="G17" s="56"/>
      <c r="H17" s="60"/>
      <c r="I17" s="77" t="s">
        <v>117</v>
      </c>
      <c r="J17" s="32"/>
      <c r="K17" s="3"/>
      <c r="L17" s="32"/>
      <c r="M17" s="3"/>
      <c r="N17" s="3"/>
    </row>
    <row r="18" spans="1:14" ht="14.25">
      <c r="A18" s="37" t="s">
        <v>43</v>
      </c>
      <c r="B18" s="60">
        <f aca="true" t="shared" si="0" ref="B18:B23">$B$13*0.7</f>
        <v>16.933</v>
      </c>
      <c r="C18" s="60">
        <v>15.1</v>
      </c>
      <c r="D18" s="60">
        <v>1.897</v>
      </c>
      <c r="E18" s="87">
        <f aca="true" t="shared" si="1" ref="E18:E23">$E$13*0.7</f>
        <v>3.6624</v>
      </c>
      <c r="F18" s="87">
        <v>3.67</v>
      </c>
      <c r="G18" s="45">
        <v>16</v>
      </c>
      <c r="H18" s="60">
        <v>13.2</v>
      </c>
      <c r="I18" s="77" t="s">
        <v>160</v>
      </c>
      <c r="J18" s="32"/>
      <c r="L18" s="32"/>
      <c r="M18" s="3"/>
      <c r="N18" s="3"/>
    </row>
    <row r="19" spans="1:14" ht="14.25">
      <c r="A19" s="37" t="s">
        <v>44</v>
      </c>
      <c r="B19" s="60">
        <f t="shared" si="0"/>
        <v>16.933</v>
      </c>
      <c r="C19" s="86">
        <v>14.3</v>
      </c>
      <c r="D19" s="60">
        <v>2.628</v>
      </c>
      <c r="E19" s="87">
        <f t="shared" si="1"/>
        <v>3.6624</v>
      </c>
      <c r="F19" s="87">
        <v>3.67</v>
      </c>
      <c r="G19" s="45">
        <v>16</v>
      </c>
      <c r="H19" s="60">
        <v>13.2</v>
      </c>
      <c r="I19" s="77" t="s">
        <v>118</v>
      </c>
      <c r="J19" s="32"/>
      <c r="L19" s="32"/>
      <c r="M19" s="3"/>
      <c r="N19" s="3"/>
    </row>
    <row r="20" spans="1:14" ht="14.25">
      <c r="A20" s="37" t="s">
        <v>70</v>
      </c>
      <c r="B20" s="60">
        <f t="shared" si="0"/>
        <v>16.933</v>
      </c>
      <c r="C20" s="60">
        <v>14.43</v>
      </c>
      <c r="D20" s="60">
        <v>2.71</v>
      </c>
      <c r="E20" s="87">
        <f t="shared" si="1"/>
        <v>3.6624</v>
      </c>
      <c r="F20" s="87">
        <v>3.83</v>
      </c>
      <c r="G20" s="45">
        <v>16</v>
      </c>
      <c r="H20" s="60">
        <v>13.2</v>
      </c>
      <c r="I20" s="77" t="s">
        <v>161</v>
      </c>
      <c r="J20" s="32"/>
      <c r="L20" s="32"/>
      <c r="M20" s="3"/>
      <c r="N20" s="3"/>
    </row>
    <row r="21" spans="1:14" ht="14.25">
      <c r="A21" s="37" t="s">
        <v>71</v>
      </c>
      <c r="B21" s="60">
        <f t="shared" si="0"/>
        <v>16.933</v>
      </c>
      <c r="C21" s="60">
        <v>14.23</v>
      </c>
      <c r="D21" s="60">
        <v>2.95</v>
      </c>
      <c r="E21" s="87">
        <f t="shared" si="1"/>
        <v>3.6624</v>
      </c>
      <c r="F21" s="87">
        <v>3.83</v>
      </c>
      <c r="G21" s="45">
        <v>16</v>
      </c>
      <c r="H21" s="60">
        <v>13.2</v>
      </c>
      <c r="I21" s="77" t="s">
        <v>231</v>
      </c>
      <c r="J21" s="32"/>
      <c r="L21" s="32"/>
      <c r="M21" s="3"/>
      <c r="N21" s="3"/>
    </row>
    <row r="22" spans="1:14" ht="14.25">
      <c r="A22" s="37" t="s">
        <v>72</v>
      </c>
      <c r="B22" s="60">
        <f t="shared" si="0"/>
        <v>16.933</v>
      </c>
      <c r="C22" s="60">
        <v>13.6</v>
      </c>
      <c r="D22" s="87">
        <v>3.57</v>
      </c>
      <c r="E22" s="87">
        <f t="shared" si="1"/>
        <v>3.6624</v>
      </c>
      <c r="F22" s="87">
        <v>4.08</v>
      </c>
      <c r="G22" s="45">
        <v>16</v>
      </c>
      <c r="H22" s="60">
        <v>13.2</v>
      </c>
      <c r="I22" s="77" t="s">
        <v>230</v>
      </c>
      <c r="J22" s="32"/>
      <c r="L22" s="32"/>
      <c r="M22" s="3"/>
      <c r="N22" s="3"/>
    </row>
    <row r="23" spans="1:14" ht="14.25">
      <c r="A23" s="37" t="s">
        <v>116</v>
      </c>
      <c r="B23" s="60">
        <f t="shared" si="0"/>
        <v>16.933</v>
      </c>
      <c r="C23" s="60">
        <v>14.9</v>
      </c>
      <c r="D23" s="60">
        <v>2.262</v>
      </c>
      <c r="E23" s="87">
        <f t="shared" si="1"/>
        <v>3.6624</v>
      </c>
      <c r="F23" s="87">
        <v>3.69</v>
      </c>
      <c r="G23" s="45">
        <v>16</v>
      </c>
      <c r="H23" s="60">
        <v>13.2</v>
      </c>
      <c r="I23" s="77" t="s">
        <v>119</v>
      </c>
      <c r="J23" s="32"/>
      <c r="L23" s="32"/>
      <c r="M23" s="3"/>
      <c r="N23" s="3"/>
    </row>
    <row r="24" spans="1:9" ht="14.25">
      <c r="A24" s="62"/>
      <c r="B24" s="41"/>
      <c r="C24" s="41"/>
      <c r="D24" s="41"/>
      <c r="E24" s="41"/>
      <c r="F24" s="41"/>
      <c r="G24" s="41"/>
      <c r="H24" s="41"/>
      <c r="I24" s="121"/>
    </row>
    <row r="25" spans="1:14" ht="18">
      <c r="A25" s="39" t="s">
        <v>156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7" t="s">
        <v>37</v>
      </c>
    </row>
    <row r="26" spans="1:14" ht="14.25">
      <c r="A26" s="10"/>
      <c r="B26" s="17" t="s">
        <v>124</v>
      </c>
      <c r="C26" s="17" t="s">
        <v>64</v>
      </c>
      <c r="D26" s="17" t="s">
        <v>76</v>
      </c>
      <c r="E26" s="17" t="s">
        <v>58</v>
      </c>
      <c r="F26" s="17" t="s">
        <v>53</v>
      </c>
      <c r="G26" s="17" t="s">
        <v>45</v>
      </c>
      <c r="H26" s="17" t="s">
        <v>46</v>
      </c>
      <c r="I26" s="17" t="s">
        <v>47</v>
      </c>
      <c r="J26" s="17" t="s">
        <v>48</v>
      </c>
      <c r="K26" s="17" t="s">
        <v>49</v>
      </c>
      <c r="L26" s="17" t="s">
        <v>54</v>
      </c>
      <c r="M26" s="17" t="s">
        <v>55</v>
      </c>
      <c r="N26" s="17">
        <v>2014</v>
      </c>
    </row>
    <row r="27" spans="1:14" ht="14.25">
      <c r="A27" s="16" t="s">
        <v>60</v>
      </c>
      <c r="B27" s="17" t="s">
        <v>63</v>
      </c>
      <c r="C27" s="17" t="s">
        <v>63</v>
      </c>
      <c r="D27" s="17" t="s">
        <v>65</v>
      </c>
      <c r="E27" s="17"/>
      <c r="F27" s="17"/>
      <c r="G27" s="17" t="s">
        <v>59</v>
      </c>
      <c r="H27" s="17" t="s">
        <v>59</v>
      </c>
      <c r="I27" s="17" t="s">
        <v>59</v>
      </c>
      <c r="J27" s="17" t="s">
        <v>59</v>
      </c>
      <c r="K27" s="17" t="s">
        <v>59</v>
      </c>
      <c r="L27" s="17"/>
      <c r="M27" s="17"/>
      <c r="N27" s="17" t="s">
        <v>111</v>
      </c>
    </row>
    <row r="28" spans="1:14" ht="14.25">
      <c r="A28" s="10" t="s">
        <v>41</v>
      </c>
      <c r="B28" s="49">
        <v>7.2</v>
      </c>
      <c r="C28" s="49">
        <v>32</v>
      </c>
      <c r="D28" s="5">
        <v>0</v>
      </c>
      <c r="E28" s="5">
        <v>54</v>
      </c>
      <c r="F28" s="18">
        <f>D28/365.25*E28</f>
        <v>0</v>
      </c>
      <c r="G28" s="88">
        <f>((C28-B28)*(13.92+0.1612*(C28+B28)))*D28/1000</f>
        <v>0</v>
      </c>
      <c r="H28" s="88">
        <f>$G$28/0.481*$C$7</f>
        <v>0</v>
      </c>
      <c r="I28" s="88">
        <f>$G$28/0.481*$D$7</f>
        <v>0</v>
      </c>
      <c r="J28" s="88">
        <f>(C28-B28)*(4.024+0.0291*(C28+B28))*D28/1000</f>
        <v>0</v>
      </c>
      <c r="K28" s="88">
        <f>J28*$F$7/$E$7</f>
        <v>0</v>
      </c>
      <c r="L28" s="18">
        <f>$F$28*($C$28+$B$28)/2*$G$7/1000</f>
        <v>0</v>
      </c>
      <c r="M28" s="18">
        <f>$F$28*($C$28+$B$28)/2*$H$7/1000</f>
        <v>0</v>
      </c>
      <c r="N28" s="18">
        <f>(C28-B28)*D28/5167</f>
        <v>0</v>
      </c>
    </row>
    <row r="29" spans="1:14" ht="14.25">
      <c r="A29" s="10" t="s">
        <v>42</v>
      </c>
      <c r="B29" s="49">
        <v>7.2</v>
      </c>
      <c r="C29" s="49">
        <v>32</v>
      </c>
      <c r="D29" s="5">
        <v>0</v>
      </c>
      <c r="E29" s="5">
        <v>54</v>
      </c>
      <c r="F29" s="18">
        <f>D29/365.25*E29</f>
        <v>0</v>
      </c>
      <c r="G29" s="88">
        <f>((C29-B29)*(13.92+0.1612*(C29+B29)))*D29/1000</f>
        <v>0</v>
      </c>
      <c r="H29" s="88">
        <f>$G$29/0.481*$C$8</f>
        <v>0</v>
      </c>
      <c r="I29" s="88">
        <f>$G$29/0.481*$D$8</f>
        <v>0</v>
      </c>
      <c r="J29" s="88">
        <f>(C29-B29)*(4.024+0.0291*(C29+B29))*D29/1000</f>
        <v>0</v>
      </c>
      <c r="K29" s="88">
        <f>J29*$F$8/$E$8</f>
        <v>0</v>
      </c>
      <c r="L29" s="18">
        <f>$F$29*($C$29+$B$29)/2*$G$8/1000</f>
        <v>0</v>
      </c>
      <c r="M29" s="18">
        <f>$F$29*($C$29+$B$29)/2*$H$8/1000</f>
        <v>0</v>
      </c>
      <c r="N29" s="18">
        <f>(C29-B29)*D29/5167</f>
        <v>0</v>
      </c>
    </row>
    <row r="30" spans="1:15" ht="14.25">
      <c r="A30" s="70" t="s">
        <v>77</v>
      </c>
      <c r="B30" s="20"/>
      <c r="C30" s="20"/>
      <c r="D30" s="20">
        <f>D28+D29</f>
        <v>0</v>
      </c>
      <c r="E30" s="20"/>
      <c r="F30" s="46">
        <f aca="true" t="shared" si="2" ref="F30:N30">F28+F29</f>
        <v>0</v>
      </c>
      <c r="G30" s="46">
        <f t="shared" si="2"/>
        <v>0</v>
      </c>
      <c r="H30" s="46">
        <f t="shared" si="2"/>
        <v>0</v>
      </c>
      <c r="I30" s="46">
        <f t="shared" si="2"/>
        <v>0</v>
      </c>
      <c r="J30" s="46">
        <f t="shared" si="2"/>
        <v>0</v>
      </c>
      <c r="K30" s="46">
        <f t="shared" si="2"/>
        <v>0</v>
      </c>
      <c r="L30" s="46">
        <f t="shared" si="2"/>
        <v>0</v>
      </c>
      <c r="M30" s="46">
        <f t="shared" si="2"/>
        <v>0</v>
      </c>
      <c r="N30" s="46">
        <f t="shared" si="2"/>
        <v>0</v>
      </c>
      <c r="O30" s="35"/>
    </row>
    <row r="31" spans="1:14" ht="14.25">
      <c r="A31" s="16" t="s">
        <v>61</v>
      </c>
      <c r="B31" s="10"/>
      <c r="C31" s="10"/>
      <c r="D31" s="10"/>
      <c r="E31" s="10"/>
      <c r="F31" s="40"/>
      <c r="G31" s="10"/>
      <c r="H31" s="10"/>
      <c r="I31" s="10"/>
      <c r="J31" s="10"/>
      <c r="K31" s="10"/>
      <c r="L31" s="10"/>
      <c r="M31" s="10"/>
      <c r="N31" s="17"/>
    </row>
    <row r="32" spans="1:15" ht="14.25">
      <c r="A32" s="10" t="s">
        <v>39</v>
      </c>
      <c r="B32" s="49">
        <v>31</v>
      </c>
      <c r="C32" s="49">
        <v>110</v>
      </c>
      <c r="D32" s="5">
        <v>0</v>
      </c>
      <c r="E32" s="5">
        <v>85</v>
      </c>
      <c r="F32" s="18">
        <f>D32/365.25*E32</f>
        <v>0</v>
      </c>
      <c r="G32" s="88">
        <f>((C32-B32)*(13.92+0.1612*(C32+B32)))*D32/1000</f>
        <v>0</v>
      </c>
      <c r="H32" s="88">
        <f>$G$32/2.895*$C$10</f>
        <v>0</v>
      </c>
      <c r="I32" s="88">
        <f>$G$32/2.895*$D$10</f>
        <v>0</v>
      </c>
      <c r="J32" s="88">
        <f>(C32-B32)*(4.024+0.0291*(C32+B32))*D32/1000</f>
        <v>0</v>
      </c>
      <c r="K32" s="88">
        <f>J32*$F$10/$E$10</f>
        <v>0</v>
      </c>
      <c r="L32" s="18">
        <f>F32*(C32+B32)/2*$G$10/1000</f>
        <v>0</v>
      </c>
      <c r="M32" s="18">
        <f>F32*(C32+B32)/2*$H$10/1000</f>
        <v>0</v>
      </c>
      <c r="N32" s="18">
        <f>D32*((40-B32)/5167+(87-40)/3088+(C32-87)/2254)</f>
        <v>0</v>
      </c>
      <c r="O32" t="s">
        <v>26</v>
      </c>
    </row>
    <row r="33" spans="1:14" ht="14.25">
      <c r="A33" s="10" t="s">
        <v>40</v>
      </c>
      <c r="B33" s="49">
        <v>31</v>
      </c>
      <c r="C33" s="49">
        <v>110</v>
      </c>
      <c r="D33" s="5">
        <v>0</v>
      </c>
      <c r="E33" s="5">
        <v>85</v>
      </c>
      <c r="F33" s="18">
        <f>D33/365.25*E33</f>
        <v>0</v>
      </c>
      <c r="G33" s="88">
        <f>((C33-B33)*(13.92+0.1612*(C33+B33)))*D33/1000</f>
        <v>0</v>
      </c>
      <c r="H33" s="88">
        <f>$G$33/2.895*$C$11</f>
        <v>0</v>
      </c>
      <c r="I33" s="88">
        <f>$G$33/2.895*$D$11</f>
        <v>0</v>
      </c>
      <c r="J33" s="88">
        <f>(C33-B33)*(4.024+0.0291*(C33+B33))*D33/1000</f>
        <v>0</v>
      </c>
      <c r="K33" s="88">
        <f>J33*F11/$E$11</f>
        <v>0</v>
      </c>
      <c r="L33" s="18">
        <f>F33*(C33+B33)/2*$G$11/1000</f>
        <v>0</v>
      </c>
      <c r="M33" s="18">
        <f>F33*(C33+B33)/2*$H$11/1000</f>
        <v>0</v>
      </c>
      <c r="N33" s="18">
        <f>D33*((40-B33)/5167+(87-40)/3088+(C33-87)/2254)</f>
        <v>0</v>
      </c>
    </row>
    <row r="34" spans="1:14" ht="14.25">
      <c r="A34" s="10" t="s">
        <v>42</v>
      </c>
      <c r="B34" s="49">
        <v>32</v>
      </c>
      <c r="C34" s="49">
        <v>112</v>
      </c>
      <c r="D34" s="5">
        <v>0</v>
      </c>
      <c r="E34" s="5">
        <v>133</v>
      </c>
      <c r="F34" s="18">
        <f>D34/365.25*E34</f>
        <v>0</v>
      </c>
      <c r="G34" s="88">
        <f>((C34-B34)*(13.92+0.1612*(C34+B34)))*D34/1000</f>
        <v>0</v>
      </c>
      <c r="H34" s="88">
        <f>$G$34/2.895*$C$12</f>
        <v>0</v>
      </c>
      <c r="I34" s="88">
        <f>$G$34/2.895*$D$12</f>
        <v>0</v>
      </c>
      <c r="J34" s="88">
        <f>(C34-B34)*(4.024+0.0291*(C34+B34))*D34/1000</f>
        <v>0</v>
      </c>
      <c r="K34" s="88">
        <f>J34*$F$12/$E$12</f>
        <v>0</v>
      </c>
      <c r="L34" s="18">
        <f>F34*(C34+B34)/2*$G$12/1000</f>
        <v>0</v>
      </c>
      <c r="M34" s="18">
        <f>F34*(C34+B34)/2*$H$12/1000</f>
        <v>0</v>
      </c>
      <c r="N34" s="18">
        <f>D34*((40-B34)/5167+(87-40)/3088+(C34-87)/2254)</f>
        <v>0</v>
      </c>
    </row>
    <row r="35" spans="1:15" ht="14.25">
      <c r="A35" s="70" t="s">
        <v>62</v>
      </c>
      <c r="B35" s="20"/>
      <c r="C35" s="20"/>
      <c r="D35" s="20">
        <f>SUM(D32:D34)</f>
        <v>0</v>
      </c>
      <c r="E35" s="20"/>
      <c r="F35" s="46">
        <f aca="true" t="shared" si="3" ref="F35:N35">SUM(F32:F34)</f>
        <v>0</v>
      </c>
      <c r="G35" s="46">
        <f t="shared" si="3"/>
        <v>0</v>
      </c>
      <c r="H35" s="46">
        <f t="shared" si="3"/>
        <v>0</v>
      </c>
      <c r="I35" s="46">
        <f t="shared" si="3"/>
        <v>0</v>
      </c>
      <c r="J35" s="46">
        <f t="shared" si="3"/>
        <v>0</v>
      </c>
      <c r="K35" s="46">
        <f t="shared" si="3"/>
        <v>0</v>
      </c>
      <c r="L35" s="46">
        <f t="shared" si="3"/>
        <v>0</v>
      </c>
      <c r="M35" s="46">
        <f t="shared" si="3"/>
        <v>0</v>
      </c>
      <c r="N35" s="46">
        <f t="shared" si="3"/>
        <v>0</v>
      </c>
      <c r="O35" s="35"/>
    </row>
    <row r="36" spans="1:14" ht="14.25">
      <c r="A36" s="16" t="s">
        <v>109</v>
      </c>
      <c r="B36" s="5">
        <v>0</v>
      </c>
      <c r="C36" s="66" t="s">
        <v>90</v>
      </c>
      <c r="D36" s="17"/>
      <c r="E36" s="5">
        <v>22.5</v>
      </c>
      <c r="F36" s="66" t="s">
        <v>107</v>
      </c>
      <c r="G36" s="17"/>
      <c r="H36" s="17"/>
      <c r="I36" s="17">
        <f>100-E36</f>
        <v>77.5</v>
      </c>
      <c r="J36" s="17"/>
      <c r="K36" s="17"/>
      <c r="L36" s="17"/>
      <c r="M36" s="17"/>
      <c r="N36" s="18">
        <f>B36/4.4</f>
        <v>0</v>
      </c>
    </row>
    <row r="37" spans="1:14" ht="14.25">
      <c r="A37" s="16" t="s">
        <v>80</v>
      </c>
      <c r="B37" s="66"/>
      <c r="C37" s="17"/>
      <c r="D37" s="17" t="s">
        <v>91</v>
      </c>
      <c r="E37" s="17"/>
      <c r="F37" s="17" t="s">
        <v>92</v>
      </c>
      <c r="G37" s="10"/>
      <c r="H37" s="10"/>
      <c r="I37" s="10"/>
      <c r="J37" s="10"/>
      <c r="K37" s="10"/>
      <c r="L37" s="10"/>
      <c r="M37" s="10"/>
      <c r="N37" s="10"/>
    </row>
    <row r="38" spans="1:14" ht="14.25">
      <c r="A38" s="10" t="s">
        <v>88</v>
      </c>
      <c r="B38" s="10"/>
      <c r="C38" s="10"/>
      <c r="D38" s="5">
        <v>100</v>
      </c>
      <c r="E38" s="17"/>
      <c r="F38" s="23">
        <f>$B$36*$E$36/100*D38/100</f>
        <v>0</v>
      </c>
      <c r="G38" s="18">
        <f>$B$36*$D$38/100*B15</f>
        <v>0</v>
      </c>
      <c r="H38" s="18">
        <f>$B$36*$D$38/100*C15</f>
        <v>0</v>
      </c>
      <c r="I38" s="18">
        <f>$B$36*$D$38/100*D15</f>
        <v>0</v>
      </c>
      <c r="J38" s="18">
        <f>$B$36*$D$38/100*E15</f>
        <v>0</v>
      </c>
      <c r="K38" s="18">
        <f>$B$36*$D$38/100*F15</f>
        <v>0</v>
      </c>
      <c r="L38" s="18">
        <f>$F38*G15</f>
        <v>0</v>
      </c>
      <c r="M38" s="18">
        <f>$F38*H15</f>
        <v>0</v>
      </c>
      <c r="N38" s="10"/>
    </row>
    <row r="39" spans="1:14" ht="14.25">
      <c r="A39" s="10" t="s">
        <v>89</v>
      </c>
      <c r="B39" s="10"/>
      <c r="C39" s="10"/>
      <c r="D39" s="5">
        <v>0</v>
      </c>
      <c r="E39" s="17"/>
      <c r="F39" s="23">
        <f>$B$36*$E$36/100*D39/100</f>
        <v>0</v>
      </c>
      <c r="G39" s="18">
        <f>$B$36*$D$39/100*B16</f>
        <v>0</v>
      </c>
      <c r="H39" s="18">
        <f>$B$36*$D$39/100*C16</f>
        <v>0</v>
      </c>
      <c r="I39" s="18">
        <f>$B$36*$D$39/100*D16</f>
        <v>0</v>
      </c>
      <c r="J39" s="18">
        <f>$B$36*$D$39/100*E16</f>
        <v>0</v>
      </c>
      <c r="K39" s="18">
        <f>$B$36*$D$39/100*F16</f>
        <v>0</v>
      </c>
      <c r="L39" s="18">
        <f>$F39*G16</f>
        <v>0</v>
      </c>
      <c r="M39" s="18">
        <f>$F39*H16</f>
        <v>0</v>
      </c>
      <c r="N39" s="10"/>
    </row>
    <row r="40" spans="1:14" ht="14.25">
      <c r="A40" s="10" t="s">
        <v>94</v>
      </c>
      <c r="B40" s="19"/>
      <c r="C40" s="19"/>
      <c r="D40" s="20">
        <f>D38+D39</f>
        <v>100</v>
      </c>
      <c r="E40" s="20"/>
      <c r="F40" s="20">
        <f>F38+F39</f>
        <v>0</v>
      </c>
      <c r="G40" s="46">
        <f aca="true" t="shared" si="4" ref="G40:M40">G38+G39</f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0</v>
      </c>
      <c r="L40" s="46">
        <f t="shared" si="4"/>
        <v>0</v>
      </c>
      <c r="M40" s="46">
        <f t="shared" si="4"/>
        <v>0</v>
      </c>
      <c r="N40" s="10"/>
    </row>
    <row r="41" spans="1:14" ht="14.25">
      <c r="A41" s="16" t="s">
        <v>57</v>
      </c>
      <c r="B41" s="66"/>
      <c r="C41" s="17"/>
      <c r="D41" s="17" t="s">
        <v>93</v>
      </c>
      <c r="E41" s="17"/>
      <c r="F41" s="17"/>
      <c r="G41" s="17"/>
      <c r="H41" s="17"/>
      <c r="I41" s="17"/>
      <c r="J41" s="17"/>
      <c r="K41" s="17"/>
      <c r="L41" s="17"/>
      <c r="M41" s="17"/>
      <c r="N41" s="10"/>
    </row>
    <row r="42" spans="1:14" ht="14.25">
      <c r="A42" s="10" t="s">
        <v>113</v>
      </c>
      <c r="B42" s="10"/>
      <c r="C42" s="10"/>
      <c r="D42" s="5">
        <v>30</v>
      </c>
      <c r="E42" s="10"/>
      <c r="F42" s="23">
        <f aca="true" t="shared" si="5" ref="F42:F47">$B$36*$I$36/100*D42/100</f>
        <v>0</v>
      </c>
      <c r="G42" s="18">
        <f>$B$36*$D$42/100*B18</f>
        <v>0</v>
      </c>
      <c r="H42" s="18">
        <f>$B$36*$D$42/100*C18</f>
        <v>0</v>
      </c>
      <c r="I42" s="18">
        <f>$B$36*$D$42/100*D18</f>
        <v>0</v>
      </c>
      <c r="J42" s="18">
        <f>$B$36*$D$42/100*E18</f>
        <v>0</v>
      </c>
      <c r="K42" s="18">
        <f>$B$36*$D$42/100*F18</f>
        <v>0</v>
      </c>
      <c r="L42" s="18">
        <f aca="true" t="shared" si="6" ref="L42:L47">F42*G18</f>
        <v>0</v>
      </c>
      <c r="M42" s="18">
        <f aca="true" t="shared" si="7" ref="M42:M47">F42*H18</f>
        <v>0</v>
      </c>
      <c r="N42" s="10"/>
    </row>
    <row r="43" spans="1:14" ht="14.25">
      <c r="A43" s="10" t="s">
        <v>112</v>
      </c>
      <c r="B43" s="10"/>
      <c r="C43" s="10"/>
      <c r="D43" s="5">
        <v>0</v>
      </c>
      <c r="E43" s="10"/>
      <c r="F43" s="23">
        <f t="shared" si="5"/>
        <v>0</v>
      </c>
      <c r="G43" s="18">
        <f>$B$36*$D$43/100*B19</f>
        <v>0</v>
      </c>
      <c r="H43" s="18">
        <f>$B$36*$D$43/100*C19</f>
        <v>0</v>
      </c>
      <c r="I43" s="18">
        <f>$B$36*$D$43/100*D19</f>
        <v>0</v>
      </c>
      <c r="J43" s="18">
        <f>$B$36*$D$43/100*E19</f>
        <v>0</v>
      </c>
      <c r="K43" s="18">
        <f>$B$36*$D$43/100*F19</f>
        <v>0</v>
      </c>
      <c r="L43" s="18">
        <f t="shared" si="6"/>
        <v>0</v>
      </c>
      <c r="M43" s="18">
        <f t="shared" si="7"/>
        <v>0</v>
      </c>
      <c r="N43" s="10"/>
    </row>
    <row r="44" spans="1:14" ht="14.25">
      <c r="A44" s="10" t="s">
        <v>114</v>
      </c>
      <c r="B44" s="10"/>
      <c r="C44" s="10"/>
      <c r="D44" s="5">
        <v>0</v>
      </c>
      <c r="E44" s="10"/>
      <c r="F44" s="23">
        <f t="shared" si="5"/>
        <v>0</v>
      </c>
      <c r="G44" s="18">
        <f>$B$36*$D$44/100*B20</f>
        <v>0</v>
      </c>
      <c r="H44" s="18">
        <f>$B$36*$D$44/100*C20</f>
        <v>0</v>
      </c>
      <c r="I44" s="18">
        <f>$B$36*$D$44/100*D20</f>
        <v>0</v>
      </c>
      <c r="J44" s="18">
        <f>$B$36*$D$44/100*E20</f>
        <v>0</v>
      </c>
      <c r="K44" s="18">
        <f>$B$36*$D$44/100*F20</f>
        <v>0</v>
      </c>
      <c r="L44" s="18">
        <f t="shared" si="6"/>
        <v>0</v>
      </c>
      <c r="M44" s="18">
        <f t="shared" si="7"/>
        <v>0</v>
      </c>
      <c r="N44" s="10"/>
    </row>
    <row r="45" spans="1:14" ht="14.25">
      <c r="A45" s="10" t="s">
        <v>115</v>
      </c>
      <c r="B45" s="10"/>
      <c r="C45" s="10"/>
      <c r="D45" s="5">
        <v>0</v>
      </c>
      <c r="E45" s="10"/>
      <c r="F45" s="23">
        <f t="shared" si="5"/>
        <v>0</v>
      </c>
      <c r="G45" s="18">
        <f>$B$36*$D$45/100*B21</f>
        <v>0</v>
      </c>
      <c r="H45" s="18">
        <f>$B$36*$D$45/100*C21</f>
        <v>0</v>
      </c>
      <c r="I45" s="18">
        <f>$B$36*$D$45/100*D21</f>
        <v>0</v>
      </c>
      <c r="J45" s="18">
        <f>$B$36*$D$45/100*E21</f>
        <v>0</v>
      </c>
      <c r="K45" s="18">
        <f>$B$36*$D$45/100*F21</f>
        <v>0</v>
      </c>
      <c r="L45" s="18">
        <f t="shared" si="6"/>
        <v>0</v>
      </c>
      <c r="M45" s="18">
        <f t="shared" si="7"/>
        <v>0</v>
      </c>
      <c r="N45" s="10"/>
    </row>
    <row r="46" spans="1:14" ht="14.25">
      <c r="A46" s="10" t="s">
        <v>72</v>
      </c>
      <c r="B46" s="10"/>
      <c r="C46" s="10"/>
      <c r="D46" s="5">
        <v>0</v>
      </c>
      <c r="E46" s="10"/>
      <c r="F46" s="23">
        <f t="shared" si="5"/>
        <v>0</v>
      </c>
      <c r="G46" s="18">
        <f>$B$36*$D$46/100*B22</f>
        <v>0</v>
      </c>
      <c r="H46" s="18">
        <f>$B$36*$D$46/100*C22</f>
        <v>0</v>
      </c>
      <c r="I46" s="18">
        <f>$B$36*$D$46/100*D22</f>
        <v>0</v>
      </c>
      <c r="J46" s="18">
        <f>$B$36*$D$46/100*E22</f>
        <v>0</v>
      </c>
      <c r="K46" s="18">
        <f>$B$36*$D$46/100*F22</f>
        <v>0</v>
      </c>
      <c r="L46" s="18">
        <f t="shared" si="6"/>
        <v>0</v>
      </c>
      <c r="M46" s="18">
        <f t="shared" si="7"/>
        <v>0</v>
      </c>
      <c r="N46" s="10"/>
    </row>
    <row r="47" spans="1:14" ht="14.25">
      <c r="A47" s="10" t="s">
        <v>116</v>
      </c>
      <c r="B47" s="10"/>
      <c r="C47" s="10"/>
      <c r="D47" s="5">
        <v>70</v>
      </c>
      <c r="E47" s="10"/>
      <c r="F47" s="23">
        <f t="shared" si="5"/>
        <v>0</v>
      </c>
      <c r="G47" s="18">
        <f>$B$36*$D$47/100*B23</f>
        <v>0</v>
      </c>
      <c r="H47" s="18">
        <f>$B$36*$D$47/100*C23</f>
        <v>0</v>
      </c>
      <c r="I47" s="18">
        <f>$B$36*$D$47/100*D23</f>
        <v>0</v>
      </c>
      <c r="J47" s="18">
        <f>$B$36*$D$47/100*E23</f>
        <v>0</v>
      </c>
      <c r="K47" s="18">
        <f>$B$36*$D$47/100*F23</f>
        <v>0</v>
      </c>
      <c r="L47" s="18">
        <f t="shared" si="6"/>
        <v>0</v>
      </c>
      <c r="M47" s="18">
        <f t="shared" si="7"/>
        <v>0</v>
      </c>
      <c r="N47" s="10"/>
    </row>
    <row r="48" spans="1:14" ht="14.25">
      <c r="A48" s="19" t="s">
        <v>96</v>
      </c>
      <c r="B48" s="19"/>
      <c r="C48" s="19"/>
      <c r="D48" s="20">
        <f>D42+D43+D44+D45+D46+D47</f>
        <v>100</v>
      </c>
      <c r="E48" s="20"/>
      <c r="F48" s="20">
        <f aca="true" t="shared" si="8" ref="F48:M48">F42+F43+F44+F45+F46+F47</f>
        <v>0</v>
      </c>
      <c r="G48" s="46">
        <f t="shared" si="8"/>
        <v>0</v>
      </c>
      <c r="H48" s="46">
        <f t="shared" si="8"/>
        <v>0</v>
      </c>
      <c r="I48" s="46">
        <f t="shared" si="8"/>
        <v>0</v>
      </c>
      <c r="J48" s="46">
        <f t="shared" si="8"/>
        <v>0</v>
      </c>
      <c r="K48" s="46">
        <f t="shared" si="8"/>
        <v>0</v>
      </c>
      <c r="L48" s="46">
        <f t="shared" si="8"/>
        <v>0</v>
      </c>
      <c r="M48" s="46">
        <f t="shared" si="8"/>
        <v>0</v>
      </c>
      <c r="N48" s="19"/>
    </row>
    <row r="49" spans="1:15" ht="14.25">
      <c r="A49" s="53" t="s">
        <v>56</v>
      </c>
      <c r="B49" s="51"/>
      <c r="C49" s="51"/>
      <c r="D49" s="51"/>
      <c r="E49" s="51" t="s">
        <v>26</v>
      </c>
      <c r="F49" s="52"/>
      <c r="G49" s="47">
        <f aca="true" t="shared" si="9" ref="G49:M49">G30+G35+G40+G48</f>
        <v>0</v>
      </c>
      <c r="H49" s="47">
        <f t="shared" si="9"/>
        <v>0</v>
      </c>
      <c r="I49" s="47">
        <f t="shared" si="9"/>
        <v>0</v>
      </c>
      <c r="J49" s="47">
        <f t="shared" si="9"/>
        <v>0</v>
      </c>
      <c r="K49" s="47">
        <f t="shared" si="9"/>
        <v>0</v>
      </c>
      <c r="L49" s="47">
        <f t="shared" si="9"/>
        <v>0</v>
      </c>
      <c r="M49" s="47">
        <f t="shared" si="9"/>
        <v>0</v>
      </c>
      <c r="N49" s="72">
        <f>N30+N35+N36</f>
        <v>0</v>
      </c>
      <c r="O49" s="35"/>
    </row>
    <row r="50" spans="1:14" ht="18">
      <c r="A50" s="43" t="s">
        <v>157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 t="s">
        <v>37</v>
      </c>
    </row>
    <row r="51" spans="1:14" ht="14.25">
      <c r="A51" s="13"/>
      <c r="B51" s="14" t="s">
        <v>50</v>
      </c>
      <c r="C51" s="14" t="s">
        <v>51</v>
      </c>
      <c r="D51" s="14" t="s">
        <v>52</v>
      </c>
      <c r="E51" s="14" t="s">
        <v>58</v>
      </c>
      <c r="F51" s="14" t="s">
        <v>53</v>
      </c>
      <c r="G51" s="14" t="s">
        <v>45</v>
      </c>
      <c r="H51" s="14" t="s">
        <v>46</v>
      </c>
      <c r="I51" s="14" t="s">
        <v>47</v>
      </c>
      <c r="J51" s="14" t="s">
        <v>48</v>
      </c>
      <c r="K51" s="14" t="s">
        <v>49</v>
      </c>
      <c r="L51" s="14" t="s">
        <v>54</v>
      </c>
      <c r="M51" s="14" t="s">
        <v>55</v>
      </c>
      <c r="N51" s="14">
        <v>2010</v>
      </c>
    </row>
    <row r="52" spans="1:14" ht="14.25">
      <c r="A52" s="12" t="s">
        <v>60</v>
      </c>
      <c r="B52" s="14"/>
      <c r="C52" s="14"/>
      <c r="D52" s="14"/>
      <c r="E52" s="14"/>
      <c r="F52" s="14"/>
      <c r="G52" s="14" t="s">
        <v>59</v>
      </c>
      <c r="H52" s="14" t="s">
        <v>59</v>
      </c>
      <c r="I52" s="14" t="s">
        <v>59</v>
      </c>
      <c r="J52" s="14" t="s">
        <v>59</v>
      </c>
      <c r="K52" s="14" t="s">
        <v>59</v>
      </c>
      <c r="L52" s="14"/>
      <c r="M52" s="14"/>
      <c r="N52" s="14" t="s">
        <v>111</v>
      </c>
    </row>
    <row r="53" spans="1:14" ht="14.25">
      <c r="A53" s="13" t="s">
        <v>41</v>
      </c>
      <c r="B53" s="49">
        <v>7.2</v>
      </c>
      <c r="C53" s="49">
        <v>32</v>
      </c>
      <c r="D53" s="5">
        <v>0</v>
      </c>
      <c r="E53" s="5">
        <v>54</v>
      </c>
      <c r="F53" s="15">
        <f>D53/365.25*E53</f>
        <v>0</v>
      </c>
      <c r="G53" s="89">
        <f>((C53-B53)*(13.92+0.1612*(C53+B53)))*D53/1000</f>
        <v>0</v>
      </c>
      <c r="H53" s="89">
        <f>$G$53/0.481*$C$7</f>
        <v>0</v>
      </c>
      <c r="I53" s="89">
        <f>$G$53/0.481*$D$7</f>
        <v>0</v>
      </c>
      <c r="J53" s="89">
        <f>(C53-B53)*(4.024+0.0291*(C53+B53))*D53/1000</f>
        <v>0</v>
      </c>
      <c r="K53" s="89">
        <f>J53*$F$7/$E$7</f>
        <v>0</v>
      </c>
      <c r="L53" s="15">
        <f>$F$53*($C$53+$B$53)/2*$G$7/1000</f>
        <v>0</v>
      </c>
      <c r="M53" s="15">
        <f>$F$53*($C$53+$B$53)/2*$H$7/1000</f>
        <v>0</v>
      </c>
      <c r="N53" s="15">
        <f>(C53-B53)*D53/5167</f>
        <v>0</v>
      </c>
    </row>
    <row r="54" spans="1:14" ht="14.25">
      <c r="A54" s="13" t="s">
        <v>42</v>
      </c>
      <c r="B54" s="49">
        <v>7.2</v>
      </c>
      <c r="C54" s="49">
        <v>32</v>
      </c>
      <c r="D54" s="5">
        <v>0</v>
      </c>
      <c r="E54" s="5">
        <v>54</v>
      </c>
      <c r="F54" s="15">
        <f>D54/365.25*E54</f>
        <v>0</v>
      </c>
      <c r="G54" s="89">
        <f>((C54-B54)*(13.92+0.1612*(C54+B54)))*D54/1000</f>
        <v>0</v>
      </c>
      <c r="H54" s="89">
        <f>$G$54/0.481*$C$8</f>
        <v>0</v>
      </c>
      <c r="I54" s="89">
        <f>$G$54/0.481*$D$8</f>
        <v>0</v>
      </c>
      <c r="J54" s="89">
        <f>(C54-B54)*(4.024+0.0291*(C54+B54))*D54/1000</f>
        <v>0</v>
      </c>
      <c r="K54" s="89">
        <f>J54*$F$8/$E$8</f>
        <v>0</v>
      </c>
      <c r="L54" s="15">
        <f>$F$54*($C$54+$B$54)/2*$G$8/1000</f>
        <v>0</v>
      </c>
      <c r="M54" s="15">
        <f>$F$54*($C$54+$B$54)/2*$H$8/1000</f>
        <v>0</v>
      </c>
      <c r="N54" s="15">
        <f>(C54-B54)*D54/5167</f>
        <v>0</v>
      </c>
    </row>
    <row r="55" spans="1:14" ht="14.25">
      <c r="A55" s="71" t="s">
        <v>77</v>
      </c>
      <c r="B55" s="48"/>
      <c r="C55" s="48"/>
      <c r="D55" s="48">
        <f>D53+D54</f>
        <v>0</v>
      </c>
      <c r="E55" s="48"/>
      <c r="F55" s="44">
        <f aca="true" t="shared" si="10" ref="F55:N55">F53+F54</f>
        <v>0</v>
      </c>
      <c r="G55" s="44">
        <f t="shared" si="10"/>
        <v>0</v>
      </c>
      <c r="H55" s="44">
        <f t="shared" si="10"/>
        <v>0</v>
      </c>
      <c r="I55" s="44">
        <f t="shared" si="10"/>
        <v>0</v>
      </c>
      <c r="J55" s="44">
        <f t="shared" si="10"/>
        <v>0</v>
      </c>
      <c r="K55" s="44">
        <f t="shared" si="10"/>
        <v>0</v>
      </c>
      <c r="L55" s="44">
        <f t="shared" si="10"/>
        <v>0</v>
      </c>
      <c r="M55" s="44">
        <f t="shared" si="10"/>
        <v>0</v>
      </c>
      <c r="N55" s="44">
        <f t="shared" si="10"/>
        <v>0</v>
      </c>
    </row>
    <row r="56" spans="1:14" ht="14.25">
      <c r="A56" s="12" t="s">
        <v>61</v>
      </c>
      <c r="B56" s="13"/>
      <c r="C56" s="13"/>
      <c r="D56" s="13"/>
      <c r="E56" s="13"/>
      <c r="F56" s="34"/>
      <c r="G56" s="13"/>
      <c r="H56" s="13"/>
      <c r="I56" s="13"/>
      <c r="J56" s="13"/>
      <c r="K56" s="13"/>
      <c r="L56" s="13"/>
      <c r="M56" s="13"/>
      <c r="N56" s="14"/>
    </row>
    <row r="57" spans="1:14" ht="14.25">
      <c r="A57" s="13" t="s">
        <v>39</v>
      </c>
      <c r="B57" s="49">
        <v>31</v>
      </c>
      <c r="C57" s="49">
        <v>110</v>
      </c>
      <c r="D57" s="5">
        <v>0</v>
      </c>
      <c r="E57" s="5">
        <v>85</v>
      </c>
      <c r="F57" s="15">
        <f>D57/365.25*E57</f>
        <v>0</v>
      </c>
      <c r="G57" s="89">
        <f>((C57-B57)*(13.92+0.1612*(C57+B57)))*D57/1000</f>
        <v>0</v>
      </c>
      <c r="H57" s="89">
        <f>$G$57/2.895*$C$10</f>
        <v>0</v>
      </c>
      <c r="I57" s="89">
        <f>$G$57/2.895*$D$10</f>
        <v>0</v>
      </c>
      <c r="J57" s="89">
        <f>(C57-B57)*(4.024+0.0291*(C57+B57))*D57/1000</f>
        <v>0</v>
      </c>
      <c r="K57" s="89">
        <f>J57*$F$10/$E$10</f>
        <v>0</v>
      </c>
      <c r="L57" s="15">
        <f>F57*(C57+B57)/2*$G$10/1000</f>
        <v>0</v>
      </c>
      <c r="M57" s="15">
        <f>F57*(C57+B57)/2*$H$10/1000</f>
        <v>0</v>
      </c>
      <c r="N57" s="15">
        <f>D57*((40-B57)/5167+(87-40)/3088+(C57-87)/2254)</f>
        <v>0</v>
      </c>
    </row>
    <row r="58" spans="1:14" ht="14.25">
      <c r="A58" s="13" t="s">
        <v>40</v>
      </c>
      <c r="B58" s="49">
        <v>31</v>
      </c>
      <c r="C58" s="49">
        <v>110</v>
      </c>
      <c r="D58" s="5">
        <v>0</v>
      </c>
      <c r="E58" s="5">
        <v>85</v>
      </c>
      <c r="F58" s="15">
        <f>D58/365.25*E58</f>
        <v>0</v>
      </c>
      <c r="G58" s="89">
        <f>((C58-B58)*(13.92+0.1612*(C58+B58)))*D58/1000</f>
        <v>0</v>
      </c>
      <c r="H58" s="89">
        <f>$G$58/2.895*$C$11</f>
        <v>0</v>
      </c>
      <c r="I58" s="89">
        <f>$G$58/2.895*$D$11</f>
        <v>0</v>
      </c>
      <c r="J58" s="89">
        <f>(C58-B58)*(4.024+0.0291*(C58+B58))*D58/1000</f>
        <v>0</v>
      </c>
      <c r="K58" s="89">
        <f>J58*$F$11/$E$11</f>
        <v>0</v>
      </c>
      <c r="L58" s="15">
        <f>F58*(C58+B58)/2*$G$11/1000</f>
        <v>0</v>
      </c>
      <c r="M58" s="15">
        <f>F58*(C58+B58)/2*$H$11/1000</f>
        <v>0</v>
      </c>
      <c r="N58" s="15">
        <f>D58*((40-B58)/5167+(87-40)/3088+(C58-87)/2254)</f>
        <v>0</v>
      </c>
    </row>
    <row r="59" spans="1:14" ht="14.25">
      <c r="A59" s="13" t="s">
        <v>42</v>
      </c>
      <c r="B59" s="49">
        <v>31</v>
      </c>
      <c r="C59" s="49">
        <v>110</v>
      </c>
      <c r="D59" s="5">
        <v>0</v>
      </c>
      <c r="E59" s="5">
        <v>85</v>
      </c>
      <c r="F59" s="15">
        <f>D59/365.25*E59</f>
        <v>0</v>
      </c>
      <c r="G59" s="89">
        <f>((C59-B59)*(13.92+0.1612*(C59+B59)))*D59/1000</f>
        <v>0</v>
      </c>
      <c r="H59" s="89">
        <f>$G$59/2.895*$C$12</f>
        <v>0</v>
      </c>
      <c r="I59" s="89">
        <f>$G$59/2.895*$D$12</f>
        <v>0</v>
      </c>
      <c r="J59" s="89">
        <f>(C59-B59)*(4.024+0.0291*(C59+B59))*D59/1000</f>
        <v>0</v>
      </c>
      <c r="K59" s="89">
        <f>J59*$F$12/$E$12</f>
        <v>0</v>
      </c>
      <c r="L59" s="15">
        <f>F59*(C59+B59)/2*$G$12/1000</f>
        <v>0</v>
      </c>
      <c r="M59" s="15">
        <f>F59*(C59+B59)/2*$H$12/1000</f>
        <v>0</v>
      </c>
      <c r="N59" s="15">
        <f>D59*((40-B59)/5167+(87-40)/3088+(C59-87)/2254)</f>
        <v>0</v>
      </c>
    </row>
    <row r="60" spans="1:14" ht="14.25">
      <c r="A60" s="71" t="s">
        <v>62</v>
      </c>
      <c r="B60" s="48"/>
      <c r="C60" s="48"/>
      <c r="D60" s="48">
        <f>SUM(D57:D59)</f>
        <v>0</v>
      </c>
      <c r="E60" s="48"/>
      <c r="F60" s="44">
        <f aca="true" t="shared" si="11" ref="F60:N60">SUM(F57:F59)</f>
        <v>0</v>
      </c>
      <c r="G60" s="44">
        <f t="shared" si="11"/>
        <v>0</v>
      </c>
      <c r="H60" s="44">
        <f t="shared" si="11"/>
        <v>0</v>
      </c>
      <c r="I60" s="44">
        <f t="shared" si="11"/>
        <v>0</v>
      </c>
      <c r="J60" s="44">
        <f t="shared" si="11"/>
        <v>0</v>
      </c>
      <c r="K60" s="44">
        <f t="shared" si="11"/>
        <v>0</v>
      </c>
      <c r="L60" s="44">
        <f t="shared" si="11"/>
        <v>0</v>
      </c>
      <c r="M60" s="44">
        <f t="shared" si="11"/>
        <v>0</v>
      </c>
      <c r="N60" s="44">
        <f t="shared" si="11"/>
        <v>0</v>
      </c>
    </row>
    <row r="61" spans="1:14" ht="14.25">
      <c r="A61" s="12" t="s">
        <v>110</v>
      </c>
      <c r="B61" s="5">
        <v>0</v>
      </c>
      <c r="C61" s="65" t="s">
        <v>90</v>
      </c>
      <c r="D61" s="14"/>
      <c r="E61" s="5">
        <v>22.5</v>
      </c>
      <c r="F61" s="65" t="s">
        <v>108</v>
      </c>
      <c r="G61" s="14"/>
      <c r="H61" s="14"/>
      <c r="I61" s="14">
        <f>100-E61</f>
        <v>77.5</v>
      </c>
      <c r="J61" s="14"/>
      <c r="K61" s="14"/>
      <c r="L61" s="14"/>
      <c r="M61" s="14"/>
      <c r="N61" s="15">
        <f>B61/4.4</f>
        <v>0</v>
      </c>
    </row>
    <row r="62" spans="1:14" ht="14.25">
      <c r="A62" s="12" t="s">
        <v>80</v>
      </c>
      <c r="B62" s="65"/>
      <c r="C62" s="14"/>
      <c r="D62" s="14" t="s">
        <v>91</v>
      </c>
      <c r="E62" s="14"/>
      <c r="F62" s="14" t="s">
        <v>92</v>
      </c>
      <c r="G62" s="14"/>
      <c r="H62" s="14"/>
      <c r="I62" s="14"/>
      <c r="J62" s="14"/>
      <c r="K62" s="14"/>
      <c r="L62" s="14"/>
      <c r="M62" s="14"/>
      <c r="N62" s="13"/>
    </row>
    <row r="63" spans="1:14" ht="14.25">
      <c r="A63" s="13" t="s">
        <v>88</v>
      </c>
      <c r="B63" s="14"/>
      <c r="C63" s="14"/>
      <c r="D63" s="5">
        <v>100</v>
      </c>
      <c r="E63" s="14"/>
      <c r="F63" s="22">
        <f>$B$61*$E$61/100*D63/100</f>
        <v>0</v>
      </c>
      <c r="G63" s="15">
        <f aca="true" t="shared" si="12" ref="G63:K64">$B$61*$D63/100*B15</f>
        <v>0</v>
      </c>
      <c r="H63" s="15">
        <f t="shared" si="12"/>
        <v>0</v>
      </c>
      <c r="I63" s="15">
        <f t="shared" si="12"/>
        <v>0</v>
      </c>
      <c r="J63" s="15">
        <f t="shared" si="12"/>
        <v>0</v>
      </c>
      <c r="K63" s="15">
        <f t="shared" si="12"/>
        <v>0</v>
      </c>
      <c r="L63" s="15">
        <f>$F63*G15</f>
        <v>0</v>
      </c>
      <c r="M63" s="15">
        <f>$F63*H15</f>
        <v>0</v>
      </c>
      <c r="N63" s="13"/>
    </row>
    <row r="64" spans="1:14" ht="14.25">
      <c r="A64" s="13" t="s">
        <v>89</v>
      </c>
      <c r="B64" s="14"/>
      <c r="C64" s="14"/>
      <c r="D64" s="5">
        <v>0</v>
      </c>
      <c r="E64" s="14"/>
      <c r="F64" s="22">
        <f>$B$61*$E$61/100*D64/100</f>
        <v>0</v>
      </c>
      <c r="G64" s="15">
        <f t="shared" si="12"/>
        <v>0</v>
      </c>
      <c r="H64" s="15">
        <f t="shared" si="12"/>
        <v>0</v>
      </c>
      <c r="I64" s="15">
        <f t="shared" si="12"/>
        <v>0</v>
      </c>
      <c r="J64" s="15">
        <f t="shared" si="12"/>
        <v>0</v>
      </c>
      <c r="K64" s="15">
        <f t="shared" si="12"/>
        <v>0</v>
      </c>
      <c r="L64" s="15">
        <f>$F64*G16</f>
        <v>0</v>
      </c>
      <c r="M64" s="15">
        <f>$F64*H16</f>
        <v>0</v>
      </c>
      <c r="N64" s="13"/>
    </row>
    <row r="65" spans="1:14" ht="14.25">
      <c r="A65" s="4" t="s">
        <v>94</v>
      </c>
      <c r="B65" s="48"/>
      <c r="C65" s="48"/>
      <c r="D65" s="48">
        <f>D63+D64</f>
        <v>100</v>
      </c>
      <c r="E65" s="48"/>
      <c r="F65" s="48">
        <f aca="true" t="shared" si="13" ref="F65:M65">F63+F64</f>
        <v>0</v>
      </c>
      <c r="G65" s="44">
        <f t="shared" si="13"/>
        <v>0</v>
      </c>
      <c r="H65" s="44">
        <f t="shared" si="13"/>
        <v>0</v>
      </c>
      <c r="I65" s="44">
        <f t="shared" si="13"/>
        <v>0</v>
      </c>
      <c r="J65" s="44">
        <f t="shared" si="13"/>
        <v>0</v>
      </c>
      <c r="K65" s="44">
        <f t="shared" si="13"/>
        <v>0</v>
      </c>
      <c r="L65" s="44">
        <f t="shared" si="13"/>
        <v>0</v>
      </c>
      <c r="M65" s="44">
        <f t="shared" si="13"/>
        <v>0</v>
      </c>
      <c r="N65" s="13"/>
    </row>
    <row r="66" spans="1:14" ht="14.25">
      <c r="A66" s="12" t="s">
        <v>57</v>
      </c>
      <c r="B66" s="65"/>
      <c r="C66" s="14"/>
      <c r="D66" s="14" t="s">
        <v>93</v>
      </c>
      <c r="E66" s="14"/>
      <c r="F66" s="14"/>
      <c r="G66" s="14"/>
      <c r="H66" s="14"/>
      <c r="I66" s="14"/>
      <c r="J66" s="14"/>
      <c r="K66" s="14"/>
      <c r="L66" s="14"/>
      <c r="M66" s="14"/>
      <c r="N66" s="13"/>
    </row>
    <row r="67" spans="1:14" ht="14.25">
      <c r="A67" s="13" t="s">
        <v>113</v>
      </c>
      <c r="B67" s="14"/>
      <c r="C67" s="13"/>
      <c r="D67" s="5">
        <v>30</v>
      </c>
      <c r="E67" s="14"/>
      <c r="F67" s="22">
        <f aca="true" t="shared" si="14" ref="F67:F72">$B$61*$I$61/100*D67/100</f>
        <v>0</v>
      </c>
      <c r="G67" s="15">
        <f aca="true" t="shared" si="15" ref="G67:K72">$B$61*$D67/100*B18</f>
        <v>0</v>
      </c>
      <c r="H67" s="15">
        <f t="shared" si="15"/>
        <v>0</v>
      </c>
      <c r="I67" s="15">
        <f t="shared" si="15"/>
        <v>0</v>
      </c>
      <c r="J67" s="15">
        <f t="shared" si="15"/>
        <v>0</v>
      </c>
      <c r="K67" s="15">
        <f t="shared" si="15"/>
        <v>0</v>
      </c>
      <c r="L67" s="15">
        <f aca="true" t="shared" si="16" ref="L67:L72">F67*G18</f>
        <v>0</v>
      </c>
      <c r="M67" s="15">
        <f aca="true" t="shared" si="17" ref="M67:M72">F67*H18</f>
        <v>0</v>
      </c>
      <c r="N67" s="30" t="s">
        <v>120</v>
      </c>
    </row>
    <row r="68" spans="1:14" ht="14.25">
      <c r="A68" s="13" t="s">
        <v>112</v>
      </c>
      <c r="B68" s="14"/>
      <c r="C68" s="13"/>
      <c r="D68" s="5">
        <v>0</v>
      </c>
      <c r="E68" s="14"/>
      <c r="F68" s="22">
        <f t="shared" si="14"/>
        <v>0</v>
      </c>
      <c r="G68" s="15">
        <f t="shared" si="15"/>
        <v>0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0</v>
      </c>
      <c r="L68" s="15">
        <f t="shared" si="16"/>
        <v>0</v>
      </c>
      <c r="M68" s="15">
        <f t="shared" si="17"/>
        <v>0</v>
      </c>
      <c r="N68" s="30" t="s">
        <v>164</v>
      </c>
    </row>
    <row r="69" spans="1:14" ht="14.25">
      <c r="A69" s="13" t="s">
        <v>114</v>
      </c>
      <c r="B69" s="14"/>
      <c r="C69" s="14" t="s">
        <v>26</v>
      </c>
      <c r="D69" s="5">
        <v>0</v>
      </c>
      <c r="E69" s="14"/>
      <c r="F69" s="22">
        <f t="shared" si="14"/>
        <v>0</v>
      </c>
      <c r="G69" s="15">
        <f t="shared" si="15"/>
        <v>0</v>
      </c>
      <c r="H69" s="15">
        <f t="shared" si="15"/>
        <v>0</v>
      </c>
      <c r="I69" s="15">
        <f t="shared" si="15"/>
        <v>0</v>
      </c>
      <c r="J69" s="15">
        <f t="shared" si="15"/>
        <v>0</v>
      </c>
      <c r="K69" s="15">
        <f t="shared" si="15"/>
        <v>0</v>
      </c>
      <c r="L69" s="15">
        <f t="shared" si="16"/>
        <v>0</v>
      </c>
      <c r="M69" s="15">
        <f t="shared" si="17"/>
        <v>0</v>
      </c>
      <c r="N69" s="30" t="s">
        <v>186</v>
      </c>
    </row>
    <row r="70" spans="1:14" ht="14.25">
      <c r="A70" s="13" t="s">
        <v>115</v>
      </c>
      <c r="B70" s="14"/>
      <c r="C70" s="14"/>
      <c r="D70" s="5">
        <v>0</v>
      </c>
      <c r="E70" s="14"/>
      <c r="F70" s="22">
        <f t="shared" si="14"/>
        <v>0</v>
      </c>
      <c r="G70" s="15">
        <f t="shared" si="15"/>
        <v>0</v>
      </c>
      <c r="H70" s="15">
        <f t="shared" si="15"/>
        <v>0</v>
      </c>
      <c r="I70" s="15">
        <f t="shared" si="15"/>
        <v>0</v>
      </c>
      <c r="J70" s="15">
        <f t="shared" si="15"/>
        <v>0</v>
      </c>
      <c r="K70" s="15">
        <f t="shared" si="15"/>
        <v>0</v>
      </c>
      <c r="L70" s="15">
        <f t="shared" si="16"/>
        <v>0</v>
      </c>
      <c r="M70" s="15">
        <f t="shared" si="17"/>
        <v>0</v>
      </c>
      <c r="N70" s="30" t="s">
        <v>187</v>
      </c>
    </row>
    <row r="71" spans="1:14" ht="14.25">
      <c r="A71" s="13" t="s">
        <v>72</v>
      </c>
      <c r="B71" s="14"/>
      <c r="C71" s="14"/>
      <c r="D71" s="5">
        <v>0</v>
      </c>
      <c r="E71" s="14"/>
      <c r="F71" s="22">
        <f t="shared" si="14"/>
        <v>0</v>
      </c>
      <c r="G71" s="15">
        <f t="shared" si="15"/>
        <v>0</v>
      </c>
      <c r="H71" s="15">
        <f t="shared" si="15"/>
        <v>0</v>
      </c>
      <c r="I71" s="15">
        <f t="shared" si="15"/>
        <v>0</v>
      </c>
      <c r="J71" s="15">
        <f t="shared" si="15"/>
        <v>0</v>
      </c>
      <c r="K71" s="15">
        <f t="shared" si="15"/>
        <v>0</v>
      </c>
      <c r="L71" s="15">
        <f t="shared" si="16"/>
        <v>0</v>
      </c>
      <c r="M71" s="15">
        <f t="shared" si="17"/>
        <v>0</v>
      </c>
      <c r="N71" s="30" t="s">
        <v>188</v>
      </c>
    </row>
    <row r="72" spans="1:14" ht="14.25">
      <c r="A72" s="13" t="s">
        <v>116</v>
      </c>
      <c r="B72" s="14"/>
      <c r="C72" s="14"/>
      <c r="D72" s="5">
        <v>70</v>
      </c>
      <c r="E72" s="14"/>
      <c r="F72" s="22">
        <f t="shared" si="14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15">
        <f t="shared" si="16"/>
        <v>0</v>
      </c>
      <c r="M72" s="15">
        <f t="shared" si="17"/>
        <v>0</v>
      </c>
      <c r="N72" s="30" t="s">
        <v>189</v>
      </c>
    </row>
    <row r="73" spans="1:14" ht="14.25">
      <c r="A73" s="4" t="s">
        <v>95</v>
      </c>
      <c r="B73" s="48"/>
      <c r="C73" s="48"/>
      <c r="D73" s="48">
        <f>D67+D68+D69+D70+D71+D72</f>
        <v>100</v>
      </c>
      <c r="E73" s="48"/>
      <c r="F73" s="48">
        <f aca="true" t="shared" si="18" ref="F73:M73">F67+F68+F69+F70+F71+F72</f>
        <v>0</v>
      </c>
      <c r="G73" s="44">
        <f t="shared" si="18"/>
        <v>0</v>
      </c>
      <c r="H73" s="44">
        <f t="shared" si="18"/>
        <v>0</v>
      </c>
      <c r="I73" s="44">
        <f t="shared" si="18"/>
        <v>0</v>
      </c>
      <c r="J73" s="44">
        <f t="shared" si="18"/>
        <v>0</v>
      </c>
      <c r="K73" s="44">
        <f t="shared" si="18"/>
        <v>0</v>
      </c>
      <c r="L73" s="44">
        <f t="shared" si="18"/>
        <v>0</v>
      </c>
      <c r="M73" s="44">
        <f t="shared" si="18"/>
        <v>0</v>
      </c>
      <c r="N73" s="30"/>
    </row>
    <row r="74" spans="1:14" ht="14.25">
      <c r="A74" s="11" t="s">
        <v>241</v>
      </c>
      <c r="B74" s="63"/>
      <c r="C74" s="63"/>
      <c r="D74" s="63"/>
      <c r="E74" s="63"/>
      <c r="F74" s="63"/>
      <c r="G74" s="64">
        <f aca="true" t="shared" si="19" ref="G74:M74">G55+G60+G65+G73</f>
        <v>0</v>
      </c>
      <c r="H74" s="64">
        <f t="shared" si="19"/>
        <v>0</v>
      </c>
      <c r="I74" s="64">
        <f t="shared" si="19"/>
        <v>0</v>
      </c>
      <c r="J74" s="64">
        <f t="shared" si="19"/>
        <v>0</v>
      </c>
      <c r="K74" s="64">
        <f t="shared" si="19"/>
        <v>0</v>
      </c>
      <c r="L74" s="64">
        <f t="shared" si="19"/>
        <v>0</v>
      </c>
      <c r="M74" s="64">
        <f t="shared" si="19"/>
        <v>0</v>
      </c>
      <c r="N74" s="78">
        <f>N55+N60+N61</f>
        <v>0</v>
      </c>
    </row>
    <row r="75" spans="1:14" ht="14.25">
      <c r="A75" s="41" t="s">
        <v>84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142" t="s">
        <v>239</v>
      </c>
    </row>
    <row r="76" spans="1:14" ht="14.25">
      <c r="A76" s="41" t="s">
        <v>155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142" t="s">
        <v>182</v>
      </c>
    </row>
    <row r="77" spans="1:14" ht="14.25">
      <c r="A77" s="41" t="s">
        <v>74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42" t="s">
        <v>179</v>
      </c>
    </row>
    <row r="78" spans="1:14" ht="14.25">
      <c r="A78" s="41" t="s">
        <v>75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142" t="s">
        <v>180</v>
      </c>
    </row>
    <row r="79" spans="1:14" ht="14.25">
      <c r="A79" s="41" t="s">
        <v>78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142" t="s">
        <v>181</v>
      </c>
    </row>
  </sheetData>
  <sheetProtection password="DE48" sheet="1"/>
  <conditionalFormatting sqref="G74:I74 L74:M74">
    <cfRule type="expression" priority="1" dxfId="3" stopIfTrue="1">
      <formula>IF(G74&gt;G49,1,0)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4.57421875" style="0" customWidth="1"/>
    <col min="2" max="2" width="11.00390625" style="0" customWidth="1"/>
    <col min="3" max="3" width="11.7109375" style="0" customWidth="1"/>
    <col min="4" max="4" width="10.8515625" style="0" customWidth="1"/>
    <col min="5" max="6" width="9.7109375" style="0" customWidth="1"/>
    <col min="7" max="7" width="9.8515625" style="0" customWidth="1"/>
    <col min="8" max="8" width="12.57421875" style="0" customWidth="1"/>
    <col min="9" max="9" width="10.7109375" style="0" customWidth="1"/>
  </cols>
  <sheetData>
    <row r="1" ht="21">
      <c r="A1" s="21" t="s">
        <v>240</v>
      </c>
    </row>
    <row r="2" ht="14.25">
      <c r="A2" s="25" t="s">
        <v>234</v>
      </c>
    </row>
    <row r="3" spans="1:9" ht="18">
      <c r="A3" s="198"/>
      <c r="B3" s="212" t="s">
        <v>19</v>
      </c>
      <c r="C3" s="212"/>
      <c r="D3" s="212" t="s">
        <v>86</v>
      </c>
      <c r="E3" s="196" t="str">
        <f>'§29 dyretype indtastning'!I1</f>
        <v>Ejendom/svineproducent:</v>
      </c>
      <c r="F3" s="2"/>
      <c r="G3" s="2"/>
      <c r="H3" s="2"/>
      <c r="I3" s="2"/>
    </row>
    <row r="4" spans="1:9" ht="14.25">
      <c r="A4" s="198"/>
      <c r="B4" s="212" t="s">
        <v>232</v>
      </c>
      <c r="C4" s="212" t="str">
        <f>'§29 dyretype indtastning'!G4</f>
        <v>OU pr</v>
      </c>
      <c r="D4" s="212" t="str">
        <f>'§29 dyretype indtastning'!H4</f>
        <v>LE pr</v>
      </c>
      <c r="E4" s="172"/>
      <c r="F4" s="172"/>
      <c r="G4" s="172"/>
      <c r="H4" s="172"/>
      <c r="I4" s="172"/>
    </row>
    <row r="5" spans="1:9" ht="14.25">
      <c r="A5" s="198"/>
      <c r="B5" s="212" t="s">
        <v>233</v>
      </c>
      <c r="C5" s="212" t="str">
        <f>'§29 dyretype indtastning'!G5</f>
        <v>1000 kg</v>
      </c>
      <c r="D5" s="212" t="str">
        <f>'§29 dyretype indtastning'!H5</f>
        <v>1000 kg</v>
      </c>
      <c r="E5" s="172"/>
      <c r="F5" s="172"/>
      <c r="G5" s="172"/>
      <c r="H5" s="172"/>
      <c r="I5" s="172"/>
    </row>
    <row r="6" spans="1:9" ht="14.25">
      <c r="A6" s="38" t="str">
        <f>'§29 dyretype indtastning'!A6</f>
        <v>Smågrise, 7,1-31 kg</v>
      </c>
      <c r="B6" s="45"/>
      <c r="C6" s="45"/>
      <c r="D6" s="45"/>
      <c r="E6" s="172"/>
      <c r="F6" s="172"/>
      <c r="G6" s="172"/>
      <c r="H6" s="172"/>
      <c r="I6" s="172"/>
    </row>
    <row r="7" spans="1:4" ht="14.25">
      <c r="A7" s="37" t="str">
        <f>'§29 dyretype indtastning'!A7</f>
        <v>Delvis fast gulv</v>
      </c>
      <c r="B7" s="45">
        <f>'§29 dyretype indtastning'!D7</f>
        <v>0.0352</v>
      </c>
      <c r="C7" s="45">
        <f>'§29 dyretype indtastning'!G7</f>
        <v>380</v>
      </c>
      <c r="D7" s="45">
        <f>'§29 dyretype indtastning'!H7</f>
        <v>210</v>
      </c>
    </row>
    <row r="8" spans="1:9" ht="14.25">
      <c r="A8" s="37" t="str">
        <f>'§29 dyretype indtastning'!A8</f>
        <v>Drænet gulv</v>
      </c>
      <c r="B8" s="45">
        <f>'§29 dyretype indtastning'!D8</f>
        <v>0.0661</v>
      </c>
      <c r="C8" s="45">
        <f>'§29 dyretype indtastning'!G8</f>
        <v>380</v>
      </c>
      <c r="D8" s="45">
        <f>'§29 dyretype indtastning'!H8</f>
        <v>210</v>
      </c>
      <c r="E8" s="30" t="str">
        <f>'§29 dyretype indtastning'!I6</f>
        <v>SEGES, Husdyrinnovation</v>
      </c>
      <c r="F8" s="30"/>
      <c r="G8" s="30"/>
      <c r="H8" s="30"/>
      <c r="I8" s="30"/>
    </row>
    <row r="9" spans="1:9" ht="14.25">
      <c r="A9" s="42" t="str">
        <f>'§29 dyretype indtastning'!A9</f>
        <v>Slagtesvin, 31-107 kg</v>
      </c>
      <c r="B9" s="54"/>
      <c r="C9" s="54"/>
      <c r="D9" s="54"/>
      <c r="E9" s="30" t="str">
        <f>'§29 dyretype indtastning'!I7</f>
        <v>Marts</v>
      </c>
      <c r="F9" s="30">
        <f>'§29 dyretype indtastning'!J7</f>
        <v>2017</v>
      </c>
      <c r="G9" s="30"/>
      <c r="H9" s="30"/>
      <c r="I9" s="30"/>
    </row>
    <row r="10" spans="1:9" ht="14.25">
      <c r="A10" s="41" t="str">
        <f>'§29 dyretype indtastning'!A10</f>
        <v>&gt;50% fast gulv</v>
      </c>
      <c r="B10" s="54">
        <f>'§29 dyretype indtastning'!D10</f>
        <v>0.288</v>
      </c>
      <c r="C10" s="54">
        <f>'§29 dyretype indtastning'!G10</f>
        <v>300</v>
      </c>
      <c r="D10" s="54">
        <f>'§29 dyretype indtastning'!H10</f>
        <v>150</v>
      </c>
      <c r="E10" s="30" t="str">
        <f>'§29 dyretype indtastning'!I8</f>
        <v>Fra marts 2017 ikke krav om max for N og P </v>
      </c>
      <c r="F10" s="30"/>
      <c r="G10" s="30"/>
      <c r="H10" s="30"/>
      <c r="I10" s="30"/>
    </row>
    <row r="11" spans="1:9" ht="14.25">
      <c r="A11" s="41" t="str">
        <f>'§29 dyretype indtastning'!A11</f>
        <v>25-50% fast gulv</v>
      </c>
      <c r="B11" s="54">
        <f>'§29 dyretype indtastning'!D11</f>
        <v>0.363</v>
      </c>
      <c r="C11" s="54">
        <f>'§29 dyretype indtastning'!G11</f>
        <v>300</v>
      </c>
      <c r="D11" s="54">
        <f>'§29 dyretype indtastning'!H11</f>
        <v>150</v>
      </c>
      <c r="E11" s="30" t="str">
        <f>'§29 dyretype indtastning'!I9</f>
        <v>Ellers uændret fra oktober 2016-version</v>
      </c>
      <c r="F11" s="30"/>
      <c r="G11" s="30"/>
      <c r="H11" s="30"/>
      <c r="I11" s="30"/>
    </row>
    <row r="12" spans="1:9" ht="14.25">
      <c r="A12" s="41" t="str">
        <f>'§29 dyretype indtastning'!A12</f>
        <v>Drænet gulv+spalter</v>
      </c>
      <c r="B12" s="54">
        <f>'§29 dyretype indtastning'!D12</f>
        <v>0.437</v>
      </c>
      <c r="C12" s="54">
        <f>'§29 dyretype indtastning'!G12</f>
        <v>450</v>
      </c>
      <c r="D12" s="54">
        <f>'§29 dyretype indtastning'!H12</f>
        <v>150</v>
      </c>
      <c r="E12" s="30" t="str">
        <f>'§29 dyretype indtastning'!I10</f>
        <v>Fagligt ansvarlig Per Tybirk, 87405361</v>
      </c>
      <c r="F12" s="30"/>
      <c r="G12" s="30"/>
      <c r="H12" s="30"/>
      <c r="I12" s="30"/>
    </row>
    <row r="13" spans="1:9" ht="14.25">
      <c r="A13" s="38" t="str">
        <f>'§29 dyretype indtastning'!A14</f>
        <v>Farestalde</v>
      </c>
      <c r="B13" s="45"/>
      <c r="C13" s="203" t="s">
        <v>79</v>
      </c>
      <c r="D13" s="203" t="s">
        <v>73</v>
      </c>
      <c r="E13" s="37" t="s">
        <v>235</v>
      </c>
      <c r="F13" s="37"/>
      <c r="G13" s="37"/>
      <c r="H13" s="37"/>
      <c r="I13" s="37"/>
    </row>
    <row r="14" spans="1:9" ht="14.25">
      <c r="A14" s="37" t="str">
        <f>'§29 dyretype indtastning'!A15</f>
        <v>Delvis fast gulv</v>
      </c>
      <c r="B14" s="45">
        <f>'§29 dyretype indtastning'!D15</f>
        <v>0.811</v>
      </c>
      <c r="C14" s="45">
        <f>'§29 dyretype indtastning'!G15</f>
        <v>72</v>
      </c>
      <c r="D14" s="45">
        <f>'§29 dyretype indtastning'!H15</f>
        <v>13.2</v>
      </c>
      <c r="E14" s="37" t="s">
        <v>236</v>
      </c>
      <c r="F14" s="37"/>
      <c r="G14" s="37"/>
      <c r="H14" s="37"/>
      <c r="I14" s="37"/>
    </row>
    <row r="15" spans="1:4" ht="14.25">
      <c r="A15" s="37" t="str">
        <f>'§29 dyretype indtastning'!A16</f>
        <v>Fuldspaltegulv</v>
      </c>
      <c r="B15" s="45">
        <f>'§29 dyretype indtastning'!D16</f>
        <v>1.492</v>
      </c>
      <c r="C15" s="45">
        <f>'§29 dyretype indtastning'!G16</f>
        <v>100</v>
      </c>
      <c r="D15" s="45">
        <f>'§29 dyretype indtastning'!H16</f>
        <v>13.2</v>
      </c>
    </row>
    <row r="16" spans="1:9" ht="14.25">
      <c r="A16" s="42" t="str">
        <f>'§29 dyretype indtastning'!A17</f>
        <v>Løbe/drægtighesstalde pr årsso</v>
      </c>
      <c r="B16" s="54"/>
      <c r="C16" s="54"/>
      <c r="D16" s="54"/>
      <c r="E16" s="209" t="s">
        <v>117</v>
      </c>
      <c r="F16" s="125"/>
      <c r="G16" s="99"/>
      <c r="H16" s="125"/>
      <c r="I16" s="99"/>
    </row>
    <row r="17" spans="1:9" ht="14.25">
      <c r="A17" s="41" t="str">
        <f>'§29 dyretype indtastning'!A18</f>
        <v>Fixerede delvis fast gulv</v>
      </c>
      <c r="B17" s="54">
        <f>'§29 dyretype indtastning'!D18</f>
        <v>1.897</v>
      </c>
      <c r="C17" s="54">
        <f>'§29 dyretype indtastning'!G18</f>
        <v>16</v>
      </c>
      <c r="D17" s="54">
        <f>'§29 dyretype indtastning'!H18</f>
        <v>13.2</v>
      </c>
      <c r="E17" s="209" t="s">
        <v>160</v>
      </c>
      <c r="F17" s="125"/>
      <c r="G17" s="99"/>
      <c r="H17" s="125"/>
      <c r="I17" s="99"/>
    </row>
    <row r="18" spans="1:9" ht="14.25">
      <c r="A18" s="41" t="str">
        <f>'§29 dyretype indtastning'!A19</f>
        <v>Fixerede fuldspaltegulv</v>
      </c>
      <c r="B18" s="54">
        <f>'§29 dyretype indtastning'!D19</f>
        <v>2.628</v>
      </c>
      <c r="C18" s="54">
        <f>'§29 dyretype indtastning'!G19</f>
        <v>16</v>
      </c>
      <c r="D18" s="54">
        <f>'§29 dyretype indtastning'!H19</f>
        <v>13.2</v>
      </c>
      <c r="E18" s="209" t="s">
        <v>118</v>
      </c>
      <c r="F18" s="125"/>
      <c r="G18" s="99"/>
      <c r="H18" s="125"/>
      <c r="I18" s="99"/>
    </row>
    <row r="19" spans="1:9" ht="14.25">
      <c r="A19" s="41" t="str">
        <f>'§29 dyretype indtastning'!A20</f>
        <v>Løse dybstrø + spaltegulv</v>
      </c>
      <c r="B19" s="54">
        <f>'§29 dyretype indtastning'!D20</f>
        <v>2.71</v>
      </c>
      <c r="C19" s="54">
        <f>'§29 dyretype indtastning'!G20</f>
        <v>16</v>
      </c>
      <c r="D19" s="54">
        <f>'§29 dyretype indtastning'!H20</f>
        <v>13.2</v>
      </c>
      <c r="E19" s="209" t="s">
        <v>161</v>
      </c>
      <c r="F19" s="125"/>
      <c r="G19" s="99"/>
      <c r="H19" s="125"/>
      <c r="I19" s="99"/>
    </row>
    <row r="20" spans="1:9" ht="14.25">
      <c r="A20" s="41" t="str">
        <f>'§29 dyretype indtastning'!A21</f>
        <v>Løse dybstrø + fast gulv</v>
      </c>
      <c r="B20" s="54">
        <f>'§29 dyretype indtastning'!D21</f>
        <v>2.95</v>
      </c>
      <c r="C20" s="54">
        <f>'§29 dyretype indtastning'!G21</f>
        <v>16</v>
      </c>
      <c r="D20" s="54">
        <f>'§29 dyretype indtastning'!H21</f>
        <v>13.2</v>
      </c>
      <c r="E20" s="209" t="s">
        <v>231</v>
      </c>
      <c r="F20" s="125"/>
      <c r="G20" s="99"/>
      <c r="H20" s="125"/>
      <c r="I20" s="99"/>
    </row>
    <row r="21" spans="1:9" ht="14.25">
      <c r="A21" s="41" t="str">
        <f>'§29 dyretype indtastning'!A22</f>
        <v>Løse dybstrøelse</v>
      </c>
      <c r="B21" s="54">
        <f>'§29 dyretype indtastning'!D22</f>
        <v>3.57</v>
      </c>
      <c r="C21" s="54">
        <f>'§29 dyretype indtastning'!G22</f>
        <v>16</v>
      </c>
      <c r="D21" s="54">
        <f>'§29 dyretype indtastning'!H22</f>
        <v>13.2</v>
      </c>
      <c r="E21" s="209" t="s">
        <v>230</v>
      </c>
      <c r="F21" s="125"/>
      <c r="G21" s="99"/>
      <c r="H21" s="125"/>
      <c r="I21" s="99"/>
    </row>
    <row r="22" spans="1:9" ht="14.25">
      <c r="A22" s="41" t="str">
        <f>'§29 dyretype indtastning'!A23</f>
        <v>Løse delvis spaltegulv</v>
      </c>
      <c r="B22" s="54">
        <f>'§29 dyretype indtastning'!D23</f>
        <v>2.262</v>
      </c>
      <c r="C22" s="54">
        <f>'§29 dyretype indtastning'!G23</f>
        <v>16</v>
      </c>
      <c r="D22" s="54">
        <f>'§29 dyretype indtastning'!H23</f>
        <v>13.2</v>
      </c>
      <c r="E22" s="209" t="s">
        <v>119</v>
      </c>
      <c r="F22" s="125"/>
      <c r="G22" s="99"/>
      <c r="H22" s="125"/>
      <c r="I22" s="99"/>
    </row>
    <row r="23" spans="1:9" ht="15">
      <c r="A23" s="226" t="str">
        <f>'§29 dyretype indtastning'!A25</f>
        <v>Aktuel produktion før ændring - eller mulig produktion ifølge § 32 eller § 33 ved uændret dyretype.</v>
      </c>
      <c r="B23" s="200"/>
      <c r="C23" s="200"/>
      <c r="D23" s="200"/>
      <c r="E23" s="200"/>
      <c r="F23" s="200"/>
      <c r="G23" s="200"/>
      <c r="H23" s="200"/>
      <c r="I23" s="200"/>
    </row>
    <row r="24" spans="1:9" ht="14.25">
      <c r="A24" s="37"/>
      <c r="B24" s="215" t="str">
        <f>'§29 dyretype indtastning'!B26</f>
        <v>indgangs-</v>
      </c>
      <c r="C24" s="215" t="str">
        <f>'§29 dyretype indtastning'!C26</f>
        <v>afgangs-</v>
      </c>
      <c r="D24" s="215" t="str">
        <f>'§29 dyretype indtastning'!D26</f>
        <v>produc.</v>
      </c>
      <c r="E24" s="215" t="str">
        <f>'§29 dyretype indtastning'!E26</f>
        <v>Dage/gris</v>
      </c>
      <c r="F24" s="215" t="str">
        <f>'§29 dyretype indtastning'!F26</f>
        <v>stipladser</v>
      </c>
      <c r="G24" s="215" t="str">
        <f>'§29 dyretype indtastning'!I26</f>
        <v>NH3</v>
      </c>
      <c r="H24" s="215" t="str">
        <f>'§29 dyretype indtastning'!L26</f>
        <v>OU pr stald</v>
      </c>
      <c r="I24" s="215" t="str">
        <f>'§29 dyretype indtastning'!M26</f>
        <v>LE pr stald</v>
      </c>
    </row>
    <row r="25" spans="1:9" ht="14.25">
      <c r="A25" s="38" t="str">
        <f>'§29 dyretype indtastning'!A27</f>
        <v>Smågrise, dvs max 40 kg </v>
      </c>
      <c r="B25" s="215" t="str">
        <f>'§29 dyretype indtastning'!B27</f>
        <v>vægt, kg</v>
      </c>
      <c r="C25" s="215" t="str">
        <f>'§29 dyretype indtastning'!C27</f>
        <v>vægt, kg</v>
      </c>
      <c r="D25" s="215" t="str">
        <f>'§29 dyretype indtastning'!D27</f>
        <v>grise</v>
      </c>
      <c r="E25" s="215"/>
      <c r="F25" s="215"/>
      <c r="G25" s="215" t="str">
        <f>'§29 dyretype indtastning'!I27</f>
        <v>kg</v>
      </c>
      <c r="H25" s="215"/>
      <c r="I25" s="215"/>
    </row>
    <row r="26" spans="1:9" ht="14.25">
      <c r="A26" s="37" t="str">
        <f>'§29 dyretype indtastning'!A28</f>
        <v>Delvis fast gulv</v>
      </c>
      <c r="B26" s="45">
        <f>'§29 dyretype indtastning'!B28</f>
        <v>7.2</v>
      </c>
      <c r="C26" s="45">
        <f>'§29 dyretype indtastning'!C28</f>
        <v>32</v>
      </c>
      <c r="D26" s="45">
        <f>'§29 dyretype indtastning'!D28</f>
        <v>0</v>
      </c>
      <c r="E26" s="45">
        <f>'§29 dyretype indtastning'!E28</f>
        <v>54</v>
      </c>
      <c r="F26" s="213">
        <f>'§29 dyretype indtastning'!F28</f>
        <v>0</v>
      </c>
      <c r="G26" s="213">
        <f>'§29 dyretype indtastning'!I28</f>
        <v>0</v>
      </c>
      <c r="H26" s="213">
        <f>'§29 dyretype indtastning'!L28</f>
        <v>0</v>
      </c>
      <c r="I26" s="213">
        <f>'§29 dyretype indtastning'!M28</f>
        <v>0</v>
      </c>
    </row>
    <row r="27" spans="1:9" ht="14.25">
      <c r="A27" s="37" t="str">
        <f>'§29 dyretype indtastning'!A29</f>
        <v>Drænet gulv</v>
      </c>
      <c r="B27" s="45">
        <f>'§29 dyretype indtastning'!B29</f>
        <v>7.2</v>
      </c>
      <c r="C27" s="45">
        <f>'§29 dyretype indtastning'!C29</f>
        <v>32</v>
      </c>
      <c r="D27" s="45">
        <f>'§29 dyretype indtastning'!D29</f>
        <v>0</v>
      </c>
      <c r="E27" s="45">
        <f>'§29 dyretype indtastning'!E29</f>
        <v>54</v>
      </c>
      <c r="F27" s="213">
        <f>'§29 dyretype indtastning'!F29</f>
        <v>0</v>
      </c>
      <c r="G27" s="213">
        <f>'§29 dyretype indtastning'!I29</f>
        <v>0</v>
      </c>
      <c r="H27" s="213">
        <f>'§29 dyretype indtastning'!L29</f>
        <v>0</v>
      </c>
      <c r="I27" s="213">
        <f>'§29 dyretype indtastning'!M29</f>
        <v>0</v>
      </c>
    </row>
    <row r="28" spans="1:9" ht="14.25">
      <c r="A28" s="37" t="str">
        <f>'§29 dyretype indtastning'!A30</f>
        <v>Smågrise, i alt</v>
      </c>
      <c r="B28" s="45"/>
      <c r="C28" s="45"/>
      <c r="D28" s="45">
        <f>'§29 dyretype indtastning'!D30</f>
        <v>0</v>
      </c>
      <c r="E28" s="45"/>
      <c r="F28" s="213">
        <f>'§29 dyretype indtastning'!F30</f>
        <v>0</v>
      </c>
      <c r="G28" s="213">
        <f>'§29 dyretype indtastning'!I30</f>
        <v>0</v>
      </c>
      <c r="H28" s="213">
        <f>'§29 dyretype indtastning'!L30</f>
        <v>0</v>
      </c>
      <c r="I28" s="213">
        <f>'§29 dyretype indtastning'!M30</f>
        <v>0</v>
      </c>
    </row>
    <row r="29" spans="1:9" ht="14.25">
      <c r="A29" s="58" t="str">
        <f>'§29 dyretype indtastning'!A31</f>
        <v>Slagtesvin, ind før 40 kg og ud efter 87 kg levende</v>
      </c>
      <c r="B29" s="50"/>
      <c r="C29" s="50"/>
      <c r="D29" s="50"/>
      <c r="E29" s="50"/>
      <c r="F29" s="216"/>
      <c r="G29" s="216"/>
      <c r="H29" s="216"/>
      <c r="I29" s="216"/>
    </row>
    <row r="30" spans="1:9" ht="14.25">
      <c r="A30" s="199" t="str">
        <f>'§29 dyretype indtastning'!A32</f>
        <v>&gt;50% fast gulv</v>
      </c>
      <c r="B30" s="50">
        <f>'§29 dyretype indtastning'!B32</f>
        <v>31</v>
      </c>
      <c r="C30" s="50">
        <f>'§29 dyretype indtastning'!C32</f>
        <v>110</v>
      </c>
      <c r="D30" s="50">
        <f>'§29 dyretype indtastning'!D32</f>
        <v>0</v>
      </c>
      <c r="E30" s="50">
        <f>'§29 dyretype indtastning'!E32</f>
        <v>85</v>
      </c>
      <c r="F30" s="216">
        <f>'§29 dyretype indtastning'!F32</f>
        <v>0</v>
      </c>
      <c r="G30" s="216">
        <f>'§29 dyretype indtastning'!I32</f>
        <v>0</v>
      </c>
      <c r="H30" s="216">
        <f>'§29 dyretype indtastning'!L32</f>
        <v>0</v>
      </c>
      <c r="I30" s="216">
        <f>'§29 dyretype indtastning'!M32</f>
        <v>0</v>
      </c>
    </row>
    <row r="31" spans="1:9" ht="14.25">
      <c r="A31" s="199" t="str">
        <f>'§29 dyretype indtastning'!A33</f>
        <v>25-50% fast gulv</v>
      </c>
      <c r="B31" s="50">
        <f>'§29 dyretype indtastning'!B33</f>
        <v>31</v>
      </c>
      <c r="C31" s="50">
        <f>'§29 dyretype indtastning'!C33</f>
        <v>110</v>
      </c>
      <c r="D31" s="50">
        <f>'§29 dyretype indtastning'!D33</f>
        <v>0</v>
      </c>
      <c r="E31" s="50">
        <f>'§29 dyretype indtastning'!E33</f>
        <v>85</v>
      </c>
      <c r="F31" s="216">
        <f>'§29 dyretype indtastning'!F33</f>
        <v>0</v>
      </c>
      <c r="G31" s="216">
        <f>'§29 dyretype indtastning'!I33</f>
        <v>0</v>
      </c>
      <c r="H31" s="216">
        <f>'§29 dyretype indtastning'!L33</f>
        <v>0</v>
      </c>
      <c r="I31" s="216">
        <f>'§29 dyretype indtastning'!M33</f>
        <v>0</v>
      </c>
    </row>
    <row r="32" spans="1:9" ht="14.25">
      <c r="A32" s="199" t="str">
        <f>'§29 dyretype indtastning'!A34</f>
        <v>Drænet gulv</v>
      </c>
      <c r="B32" s="50">
        <f>'§29 dyretype indtastning'!B34</f>
        <v>32</v>
      </c>
      <c r="C32" s="50">
        <f>'§29 dyretype indtastning'!C34</f>
        <v>112</v>
      </c>
      <c r="D32" s="50">
        <f>'§29 dyretype indtastning'!D34</f>
        <v>0</v>
      </c>
      <c r="E32" s="50">
        <f>'§29 dyretype indtastning'!E34</f>
        <v>133</v>
      </c>
      <c r="F32" s="216">
        <f>'§29 dyretype indtastning'!F34</f>
        <v>0</v>
      </c>
      <c r="G32" s="216">
        <f>'§29 dyretype indtastning'!I34</f>
        <v>0</v>
      </c>
      <c r="H32" s="216">
        <f>'§29 dyretype indtastning'!L34</f>
        <v>0</v>
      </c>
      <c r="I32" s="216">
        <f>'§29 dyretype indtastning'!M34</f>
        <v>0</v>
      </c>
    </row>
    <row r="33" spans="1:9" ht="14.25">
      <c r="A33" s="199" t="str">
        <f>'§29 dyretype indtastning'!A35</f>
        <v>Slagtesvin i alt</v>
      </c>
      <c r="B33" s="50"/>
      <c r="C33" s="50"/>
      <c r="D33" s="50">
        <f>'§29 dyretype indtastning'!D35</f>
        <v>0</v>
      </c>
      <c r="E33" s="50"/>
      <c r="F33" s="216">
        <f>'§29 dyretype indtastning'!F35</f>
        <v>0</v>
      </c>
      <c r="G33" s="216">
        <f>'§29 dyretype indtastning'!I35</f>
        <v>0</v>
      </c>
      <c r="H33" s="216">
        <f>'§29 dyretype indtastning'!L35</f>
        <v>0</v>
      </c>
      <c r="I33" s="216">
        <f>'§29 dyretype indtastning'!M35</f>
        <v>0</v>
      </c>
    </row>
    <row r="34" spans="1:9" ht="14.25">
      <c r="A34" s="210" t="str">
        <f>'§29 dyretype indtastning'!A36</f>
        <v>Årssøer i alt antal:</v>
      </c>
      <c r="B34" s="214">
        <f>'§29 dyretype indtastning'!B36</f>
        <v>0</v>
      </c>
      <c r="C34" s="210" t="str">
        <f>'§29 dyretype indtastning'!C36</f>
        <v>Heraf % i farestalde:</v>
      </c>
      <c r="D34" s="198"/>
      <c r="E34" s="214">
        <f>'§29 dyretype indtastning'!E36</f>
        <v>22.5</v>
      </c>
      <c r="F34" s="210" t="str">
        <f>'§29 dyretype indtastning'!F36</f>
        <v>heraf % i drægtighedsstalde :</v>
      </c>
      <c r="G34" s="198"/>
      <c r="H34" s="198"/>
      <c r="I34" s="214">
        <f>'§29 dyretype indtastning'!I36</f>
        <v>77.5</v>
      </c>
    </row>
    <row r="35" spans="1:9" ht="14.25">
      <c r="A35" s="38" t="str">
        <f>'§29 dyretype indtastning'!A37</f>
        <v>Farestalde</v>
      </c>
      <c r="B35" s="37"/>
      <c r="C35" s="37"/>
      <c r="D35" s="203" t="str">
        <f>'§29 dyretype indtastning'!D37</f>
        <v>% af farestipladser</v>
      </c>
      <c r="E35" s="45"/>
      <c r="F35" s="203" t="str">
        <f>'§29 dyretype indtastning'!F37</f>
        <v>antal søer</v>
      </c>
      <c r="G35" s="45"/>
      <c r="H35" s="45"/>
      <c r="I35" s="45"/>
    </row>
    <row r="36" spans="1:9" ht="14.25">
      <c r="A36" s="37" t="str">
        <f>'§29 dyretype indtastning'!A38</f>
        <v>Delvis fast gulv, % af farepladser</v>
      </c>
      <c r="B36" s="37"/>
      <c r="C36" s="37"/>
      <c r="D36" s="45">
        <f>'§29 dyretype indtastning'!D38</f>
        <v>100</v>
      </c>
      <c r="E36" s="45"/>
      <c r="F36" s="45">
        <f>'§29 dyretype indtastning'!F38</f>
        <v>0</v>
      </c>
      <c r="G36" s="213">
        <f>'§29 dyretype indtastning'!I38</f>
        <v>0</v>
      </c>
      <c r="H36" s="213">
        <f>'§29 dyretype indtastning'!L38</f>
        <v>0</v>
      </c>
      <c r="I36" s="213">
        <f>'§29 dyretype indtastning'!M38</f>
        <v>0</v>
      </c>
    </row>
    <row r="37" spans="1:9" ht="14.25">
      <c r="A37" s="37" t="str">
        <f>'§29 dyretype indtastning'!A39</f>
        <v>Drænet gulv, % af farepladser</v>
      </c>
      <c r="B37" s="37"/>
      <c r="C37" s="37"/>
      <c r="D37" s="45">
        <f>'§29 dyretype indtastning'!D39</f>
        <v>0</v>
      </c>
      <c r="E37" s="45"/>
      <c r="F37" s="45">
        <f>'§29 dyretype indtastning'!F39</f>
        <v>0</v>
      </c>
      <c r="G37" s="213">
        <f>'§29 dyretype indtastning'!I39</f>
        <v>0</v>
      </c>
      <c r="H37" s="213">
        <f>'§29 dyretype indtastning'!L39</f>
        <v>0</v>
      </c>
      <c r="I37" s="213">
        <f>'§29 dyretype indtastning'!M39</f>
        <v>0</v>
      </c>
    </row>
    <row r="38" spans="1:9" ht="14.25">
      <c r="A38" s="37" t="str">
        <f>'§29 dyretype indtastning'!A40</f>
        <v>I alt farestalde (skal være 100%)</v>
      </c>
      <c r="B38" s="37"/>
      <c r="C38" s="37"/>
      <c r="D38" s="45">
        <f>'§29 dyretype indtastning'!D40</f>
        <v>100</v>
      </c>
      <c r="E38" s="45"/>
      <c r="F38" s="45">
        <f>'§29 dyretype indtastning'!F40</f>
        <v>0</v>
      </c>
      <c r="G38" s="213">
        <f>'§29 dyretype indtastning'!I40</f>
        <v>0</v>
      </c>
      <c r="H38" s="213">
        <f>'§29 dyretype indtastning'!L40</f>
        <v>0</v>
      </c>
      <c r="I38" s="213">
        <f>'§29 dyretype indtastning'!M40</f>
        <v>0</v>
      </c>
    </row>
    <row r="39" spans="1:9" ht="14.25">
      <c r="A39" s="58" t="str">
        <f>'§29 dyretype indtastning'!A41</f>
        <v>Løbe/dræ.stalde</v>
      </c>
      <c r="B39" s="199"/>
      <c r="C39" s="199"/>
      <c r="D39" s="215" t="str">
        <f>'§29 dyretype indtastning'!D41</f>
        <v>% af løbe/dr pladser</v>
      </c>
      <c r="E39" s="50"/>
      <c r="F39" s="50"/>
      <c r="G39" s="50"/>
      <c r="H39" s="50"/>
      <c r="I39" s="50"/>
    </row>
    <row r="40" spans="1:9" ht="14.25">
      <c r="A40" s="199" t="str">
        <f>'§29 dyretype indtastning'!A42</f>
        <v>Individuel opstaldning, delvis spaltegulv</v>
      </c>
      <c r="B40" s="199"/>
      <c r="C40" s="199"/>
      <c r="D40" s="50">
        <f>'§29 dyretype indtastning'!D42</f>
        <v>30</v>
      </c>
      <c r="E40" s="50"/>
      <c r="F40" s="50">
        <f>'§29 dyretype indtastning'!F42</f>
        <v>0</v>
      </c>
      <c r="G40" s="216">
        <f>'§29 dyretype indtastning'!I42</f>
        <v>0</v>
      </c>
      <c r="H40" s="216">
        <f>'§29 dyretype indtastning'!L42</f>
        <v>0</v>
      </c>
      <c r="I40" s="216">
        <f>'§29 dyretype indtastning'!M42</f>
        <v>0</v>
      </c>
    </row>
    <row r="41" spans="1:9" ht="14.25">
      <c r="A41" s="199" t="str">
        <f>'§29 dyretype indtastning'!A43</f>
        <v>Individuel opstaldning, fuldspaltegulv</v>
      </c>
      <c r="B41" s="199"/>
      <c r="C41" s="199"/>
      <c r="D41" s="50">
        <f>'§29 dyretype indtastning'!D43</f>
        <v>0</v>
      </c>
      <c r="E41" s="50"/>
      <c r="F41" s="50">
        <f>'§29 dyretype indtastning'!F43</f>
        <v>0</v>
      </c>
      <c r="G41" s="216">
        <f>'§29 dyretype indtastning'!I43</f>
        <v>0</v>
      </c>
      <c r="H41" s="216">
        <f>'§29 dyretype indtastning'!L43</f>
        <v>0</v>
      </c>
      <c r="I41" s="216">
        <f>'§29 dyretype indtastning'!M43</f>
        <v>0</v>
      </c>
    </row>
    <row r="42" spans="1:9" ht="14.25">
      <c r="A42" s="199" t="str">
        <f>'§29 dyretype indtastning'!A44</f>
        <v>Løse dybstrøelse + spaltegulv</v>
      </c>
      <c r="B42" s="199"/>
      <c r="C42" s="199"/>
      <c r="D42" s="50">
        <f>'§29 dyretype indtastning'!D44</f>
        <v>0</v>
      </c>
      <c r="E42" s="50"/>
      <c r="F42" s="50">
        <f>'§29 dyretype indtastning'!F44</f>
        <v>0</v>
      </c>
      <c r="G42" s="216">
        <f>'§29 dyretype indtastning'!I44</f>
        <v>0</v>
      </c>
      <c r="H42" s="216">
        <f>'§29 dyretype indtastning'!L44</f>
        <v>0</v>
      </c>
      <c r="I42" s="216">
        <f>'§29 dyretype indtastning'!M44</f>
        <v>0</v>
      </c>
    </row>
    <row r="43" spans="1:9" ht="14.25">
      <c r="A43" s="199" t="str">
        <f>'§29 dyretype indtastning'!A45</f>
        <v>Løse dybstrøelse + fast gulv</v>
      </c>
      <c r="B43" s="199"/>
      <c r="C43" s="199"/>
      <c r="D43" s="50">
        <f>'§29 dyretype indtastning'!D45</f>
        <v>0</v>
      </c>
      <c r="E43" s="50"/>
      <c r="F43" s="50">
        <f>'§29 dyretype indtastning'!F45</f>
        <v>0</v>
      </c>
      <c r="G43" s="216">
        <f>'§29 dyretype indtastning'!I45</f>
        <v>0</v>
      </c>
      <c r="H43" s="216">
        <f>'§29 dyretype indtastning'!L45</f>
        <v>0</v>
      </c>
      <c r="I43" s="216">
        <f>'§29 dyretype indtastning'!M45</f>
        <v>0</v>
      </c>
    </row>
    <row r="44" spans="1:9" ht="14.25">
      <c r="A44" s="199" t="str">
        <f>'§29 dyretype indtastning'!A46</f>
        <v>Løse dybstrøelse</v>
      </c>
      <c r="B44" s="199"/>
      <c r="C44" s="199"/>
      <c r="D44" s="50">
        <f>'§29 dyretype indtastning'!D46</f>
        <v>0</v>
      </c>
      <c r="E44" s="50"/>
      <c r="F44" s="50">
        <f>'§29 dyretype indtastning'!F46</f>
        <v>0</v>
      </c>
      <c r="G44" s="216">
        <f>'§29 dyretype indtastning'!I46</f>
        <v>0</v>
      </c>
      <c r="H44" s="216">
        <f>'§29 dyretype indtastning'!L46</f>
        <v>0</v>
      </c>
      <c r="I44" s="216">
        <f>'§29 dyretype indtastning'!M46</f>
        <v>0</v>
      </c>
    </row>
    <row r="45" spans="1:9" ht="14.25">
      <c r="A45" s="199" t="str">
        <f>'§29 dyretype indtastning'!A47</f>
        <v>Løse delvis spaltegulv</v>
      </c>
      <c r="B45" s="199"/>
      <c r="C45" s="199"/>
      <c r="D45" s="50">
        <f>'§29 dyretype indtastning'!D47</f>
        <v>70</v>
      </c>
      <c r="E45" s="50"/>
      <c r="F45" s="50">
        <f>'§29 dyretype indtastning'!F47</f>
        <v>0</v>
      </c>
      <c r="G45" s="216">
        <f>'§29 dyretype indtastning'!I47</f>
        <v>0</v>
      </c>
      <c r="H45" s="216">
        <f>'§29 dyretype indtastning'!L47</f>
        <v>0</v>
      </c>
      <c r="I45" s="216">
        <f>'§29 dyretype indtastning'!M47</f>
        <v>0</v>
      </c>
    </row>
    <row r="46" spans="1:9" ht="14.25">
      <c r="A46" s="199" t="str">
        <f>'§29 dyretype indtastning'!A48</f>
        <v>I alt løbe-dr.stalde, (skal være 100%)</v>
      </c>
      <c r="B46" s="199"/>
      <c r="C46" s="199"/>
      <c r="D46" s="50">
        <f>'§29 dyretype indtastning'!D48</f>
        <v>100</v>
      </c>
      <c r="E46" s="50"/>
      <c r="F46" s="50">
        <f>'§29 dyretype indtastning'!F48</f>
        <v>0</v>
      </c>
      <c r="G46" s="216">
        <f>'§29 dyretype indtastning'!I48</f>
        <v>0</v>
      </c>
      <c r="H46" s="216">
        <f>'§29 dyretype indtastning'!L48</f>
        <v>0</v>
      </c>
      <c r="I46" s="216">
        <f>'§29 dyretype indtastning'!M48</f>
        <v>0</v>
      </c>
    </row>
    <row r="47" spans="1:9" ht="14.25">
      <c r="A47" s="210" t="str">
        <f>'§29 dyretype indtastning'!A49</f>
        <v>I alt hele produktion</v>
      </c>
      <c r="B47" s="198"/>
      <c r="C47" s="198"/>
      <c r="D47" s="208"/>
      <c r="E47" s="208"/>
      <c r="F47" s="208"/>
      <c r="G47" s="227">
        <f>'§29 dyretype indtastning'!I49</f>
        <v>0</v>
      </c>
      <c r="H47" s="227">
        <f>'§29 dyretype indtastning'!L49</f>
        <v>0</v>
      </c>
      <c r="I47" s="227">
        <f>'§29 dyretype indtastning'!M49</f>
        <v>0</v>
      </c>
    </row>
    <row r="48" spans="1:9" ht="15">
      <c r="A48" s="224" t="str">
        <f>'§29 dyretype indtastning'!A50</f>
        <v>Ønsket produktion ved udnyttelse af § 31. Her prøver man sig frem for at sikre uændret miljøbelastning</v>
      </c>
      <c r="B48" s="225"/>
      <c r="C48" s="225"/>
      <c r="D48" s="225"/>
      <c r="E48" s="225"/>
      <c r="F48" s="225"/>
      <c r="G48" s="225"/>
      <c r="H48" s="225"/>
      <c r="I48" s="225"/>
    </row>
    <row r="49" spans="1:9" ht="14.25">
      <c r="A49" s="30"/>
      <c r="B49" s="211" t="str">
        <f>'§29 dyretype indtastning'!B51</f>
        <v>Indg-vægt</v>
      </c>
      <c r="C49" s="211" t="str">
        <f>'§29 dyretype indtastning'!C51</f>
        <v>afg. Vægt</v>
      </c>
      <c r="D49" s="211" t="str">
        <f>'§29 dyretype indtastning'!D51</f>
        <v>prod grise</v>
      </c>
      <c r="E49" s="211" t="str">
        <f>'§29 dyretype indtastning'!E51</f>
        <v>Dage/gris</v>
      </c>
      <c r="F49" s="211" t="str">
        <f>'§29 dyretype indtastning'!F51</f>
        <v>stipladser</v>
      </c>
      <c r="G49" s="211" t="str">
        <f>'§29 dyretype indtastning'!I51</f>
        <v>NH3</v>
      </c>
      <c r="H49" s="211" t="str">
        <f>'§29 dyretype indtastning'!L51</f>
        <v>OU pr stald</v>
      </c>
      <c r="I49" s="211" t="str">
        <f>'§29 dyretype indtastning'!M51</f>
        <v>LE pr stald</v>
      </c>
    </row>
    <row r="50" spans="1:9" ht="14.25">
      <c r="A50" s="219" t="str">
        <f>'§29 dyretype indtastning'!A52</f>
        <v>Smågrise, dvs max 40 kg </v>
      </c>
      <c r="B50" s="220"/>
      <c r="C50" s="220"/>
      <c r="D50" s="220"/>
      <c r="E50" s="220"/>
      <c r="F50" s="220"/>
      <c r="G50" s="221" t="str">
        <f>'§29 dyretype indtastning'!I52</f>
        <v>kg</v>
      </c>
      <c r="H50" s="220"/>
      <c r="I50" s="220"/>
    </row>
    <row r="51" spans="1:9" ht="14.25">
      <c r="A51" s="222" t="str">
        <f>'§29 dyretype indtastning'!A53</f>
        <v>Delvis fast gulv</v>
      </c>
      <c r="B51" s="220">
        <f>'§29 dyretype indtastning'!B53</f>
        <v>7.2</v>
      </c>
      <c r="C51" s="220">
        <f>'§29 dyretype indtastning'!C53</f>
        <v>32</v>
      </c>
      <c r="D51" s="220">
        <f>'§29 dyretype indtastning'!D53</f>
        <v>0</v>
      </c>
      <c r="E51" s="220">
        <f>'§29 dyretype indtastning'!E53</f>
        <v>54</v>
      </c>
      <c r="F51" s="223">
        <f>'§29 dyretype indtastning'!F53</f>
        <v>0</v>
      </c>
      <c r="G51" s="223">
        <f>'§29 dyretype indtastning'!I53</f>
        <v>0</v>
      </c>
      <c r="H51" s="223">
        <f>'§29 dyretype indtastning'!L53</f>
        <v>0</v>
      </c>
      <c r="I51" s="223">
        <f>'§29 dyretype indtastning'!M53</f>
        <v>0</v>
      </c>
    </row>
    <row r="52" spans="1:9" ht="14.25">
      <c r="A52" s="222" t="str">
        <f>'§29 dyretype indtastning'!A54</f>
        <v>Drænet gulv</v>
      </c>
      <c r="B52" s="220">
        <f>'§29 dyretype indtastning'!B54</f>
        <v>7.2</v>
      </c>
      <c r="C52" s="220">
        <f>'§29 dyretype indtastning'!C54</f>
        <v>32</v>
      </c>
      <c r="D52" s="220">
        <f>'§29 dyretype indtastning'!D54</f>
        <v>0</v>
      </c>
      <c r="E52" s="220">
        <f>'§29 dyretype indtastning'!E54</f>
        <v>54</v>
      </c>
      <c r="F52" s="223">
        <f>'§29 dyretype indtastning'!F54</f>
        <v>0</v>
      </c>
      <c r="G52" s="223">
        <f>'§29 dyretype indtastning'!I54</f>
        <v>0</v>
      </c>
      <c r="H52" s="223">
        <f>'§29 dyretype indtastning'!L54</f>
        <v>0</v>
      </c>
      <c r="I52" s="223">
        <f>'§29 dyretype indtastning'!M54</f>
        <v>0</v>
      </c>
    </row>
    <row r="53" spans="1:9" ht="14.25">
      <c r="A53" s="222" t="str">
        <f>'§29 dyretype indtastning'!A55</f>
        <v>Smågrise, i alt</v>
      </c>
      <c r="B53" s="220"/>
      <c r="C53" s="220"/>
      <c r="D53" s="220">
        <f>'§29 dyretype indtastning'!D55</f>
        <v>0</v>
      </c>
      <c r="E53" s="220"/>
      <c r="F53" s="223">
        <f>'§29 dyretype indtastning'!F55</f>
        <v>0</v>
      </c>
      <c r="G53" s="223">
        <f>'§29 dyretype indtastning'!I55</f>
        <v>0</v>
      </c>
      <c r="H53" s="223">
        <f>'§29 dyretype indtastning'!L55</f>
        <v>0</v>
      </c>
      <c r="I53" s="223">
        <f>'§29 dyretype indtastning'!M55</f>
        <v>0</v>
      </c>
    </row>
    <row r="54" spans="1:9" ht="14.25">
      <c r="A54" s="11" t="str">
        <f>'§29 dyretype indtastning'!A56</f>
        <v>Slagtesvin, ind før 40 kg og ud efter 87 kg levende</v>
      </c>
      <c r="B54" s="201"/>
      <c r="C54" s="201"/>
      <c r="D54" s="201"/>
      <c r="E54" s="201"/>
      <c r="F54" s="201"/>
      <c r="G54" s="201"/>
      <c r="H54" s="201"/>
      <c r="I54" s="201"/>
    </row>
    <row r="55" spans="1:9" ht="14.25">
      <c r="A55" s="201" t="str">
        <f>'§29 dyretype indtastning'!A57</f>
        <v>&gt;50% fast gulv</v>
      </c>
      <c r="B55" s="63">
        <f>'§29 dyretype indtastning'!B57</f>
        <v>31</v>
      </c>
      <c r="C55" s="63">
        <f>'§29 dyretype indtastning'!C57</f>
        <v>110</v>
      </c>
      <c r="D55" s="63">
        <f>'§29 dyretype indtastning'!D57</f>
        <v>0</v>
      </c>
      <c r="E55" s="63">
        <f>'§29 dyretype indtastning'!E57</f>
        <v>85</v>
      </c>
      <c r="F55" s="63">
        <f>'§29 dyretype indtastning'!F57</f>
        <v>0</v>
      </c>
      <c r="G55" s="63">
        <f>'§29 dyretype indtastning'!I57</f>
        <v>0</v>
      </c>
      <c r="H55" s="63">
        <f>'§29 dyretype indtastning'!L57</f>
        <v>0</v>
      </c>
      <c r="I55" s="63">
        <f>'§29 dyretype indtastning'!M57</f>
        <v>0</v>
      </c>
    </row>
    <row r="56" spans="1:9" ht="14.25">
      <c r="A56" s="201" t="str">
        <f>'§29 dyretype indtastning'!A58</f>
        <v>25-50% fast gulv</v>
      </c>
      <c r="B56" s="63">
        <f>'§29 dyretype indtastning'!B58</f>
        <v>31</v>
      </c>
      <c r="C56" s="63">
        <f>'§29 dyretype indtastning'!C58</f>
        <v>110</v>
      </c>
      <c r="D56" s="63">
        <f>'§29 dyretype indtastning'!D58</f>
        <v>0</v>
      </c>
      <c r="E56" s="63">
        <f>'§29 dyretype indtastning'!E58</f>
        <v>85</v>
      </c>
      <c r="F56" s="63">
        <f>'§29 dyretype indtastning'!F58</f>
        <v>0</v>
      </c>
      <c r="G56" s="63">
        <f>'§29 dyretype indtastning'!I58</f>
        <v>0</v>
      </c>
      <c r="H56" s="63">
        <f>'§29 dyretype indtastning'!L58</f>
        <v>0</v>
      </c>
      <c r="I56" s="63">
        <f>'§29 dyretype indtastning'!M58</f>
        <v>0</v>
      </c>
    </row>
    <row r="57" spans="1:9" ht="14.25">
      <c r="A57" s="201" t="str">
        <f>'§29 dyretype indtastning'!A59</f>
        <v>Drænet gulv</v>
      </c>
      <c r="B57" s="63">
        <f>'§29 dyretype indtastning'!B59</f>
        <v>31</v>
      </c>
      <c r="C57" s="63">
        <f>'§29 dyretype indtastning'!C59</f>
        <v>110</v>
      </c>
      <c r="D57" s="63">
        <f>'§29 dyretype indtastning'!D59</f>
        <v>0</v>
      </c>
      <c r="E57" s="63">
        <f>'§29 dyretype indtastning'!E59</f>
        <v>85</v>
      </c>
      <c r="F57" s="63">
        <f>'§29 dyretype indtastning'!F59</f>
        <v>0</v>
      </c>
      <c r="G57" s="63">
        <f>'§29 dyretype indtastning'!I59</f>
        <v>0</v>
      </c>
      <c r="H57" s="63">
        <f>'§29 dyretype indtastning'!L59</f>
        <v>0</v>
      </c>
      <c r="I57" s="63">
        <f>'§29 dyretype indtastning'!M59</f>
        <v>0</v>
      </c>
    </row>
    <row r="58" spans="1:9" ht="14.25">
      <c r="A58" s="201" t="str">
        <f>'§29 dyretype indtastning'!A60</f>
        <v>Slagtesvin i alt</v>
      </c>
      <c r="B58" s="63"/>
      <c r="C58" s="63"/>
      <c r="D58" s="63">
        <f>'§29 dyretype indtastning'!D60</f>
        <v>0</v>
      </c>
      <c r="E58" s="63"/>
      <c r="F58" s="63">
        <f>'§29 dyretype indtastning'!F60</f>
        <v>0</v>
      </c>
      <c r="G58" s="63">
        <f>'§29 dyretype indtastning'!I60</f>
        <v>0</v>
      </c>
      <c r="H58" s="63">
        <f>'§29 dyretype indtastning'!L60</f>
        <v>0</v>
      </c>
      <c r="I58" s="63">
        <f>'§29 dyretype indtastning'!M60</f>
        <v>0</v>
      </c>
    </row>
    <row r="59" spans="1:9" ht="14.25">
      <c r="A59" s="202" t="str">
        <f>'§29 dyretype indtastning'!A61</f>
        <v>Årssøer i alt antal :</v>
      </c>
      <c r="B59" s="217">
        <f>'§29 dyretype indtastning'!B61</f>
        <v>0</v>
      </c>
      <c r="C59" s="202" t="str">
        <f>'§29 dyretype indtastning'!C61</f>
        <v>Heraf % i farestalde:</v>
      </c>
      <c r="D59" s="30"/>
      <c r="E59" s="217">
        <f>'§29 dyretype indtastning'!E61</f>
        <v>22.5</v>
      </c>
      <c r="F59" s="202" t="str">
        <f>'§29 dyretype indtastning'!F61</f>
        <v>heraf  % i drægtighedsstalde :</v>
      </c>
      <c r="G59" s="30"/>
      <c r="H59" s="30"/>
      <c r="I59" s="217">
        <f>'§29 dyretype indtastning'!I61</f>
        <v>77.5</v>
      </c>
    </row>
    <row r="60" spans="1:9" ht="14.25">
      <c r="A60" s="11" t="str">
        <f>'§29 dyretype indtastning'!A62</f>
        <v>Farestalde</v>
      </c>
      <c r="B60" s="201"/>
      <c r="C60" s="201"/>
      <c r="D60" s="218" t="str">
        <f>'§29 dyretype indtastning'!D62</f>
        <v>% af farestipladser</v>
      </c>
      <c r="E60" s="63"/>
      <c r="F60" s="218" t="str">
        <f>'§29 dyretype indtastning'!F62</f>
        <v>antal søer</v>
      </c>
      <c r="G60" s="63"/>
      <c r="H60" s="63"/>
      <c r="I60" s="63"/>
    </row>
    <row r="61" spans="1:9" ht="14.25">
      <c r="A61" s="201" t="str">
        <f>'§29 dyretype indtastning'!A63</f>
        <v>Delvis fast gulv, % af farepladser</v>
      </c>
      <c r="B61" s="201"/>
      <c r="C61" s="201"/>
      <c r="D61" s="63">
        <f>'§29 dyretype indtastning'!D63</f>
        <v>100</v>
      </c>
      <c r="E61" s="63"/>
      <c r="F61" s="64">
        <f>'§29 dyretype indtastning'!F63</f>
        <v>0</v>
      </c>
      <c r="G61" s="64">
        <f>'§29 dyretype indtastning'!I63</f>
        <v>0</v>
      </c>
      <c r="H61" s="64">
        <f>'§29 dyretype indtastning'!L63</f>
        <v>0</v>
      </c>
      <c r="I61" s="64">
        <f>'§29 dyretype indtastning'!M63</f>
        <v>0</v>
      </c>
    </row>
    <row r="62" spans="1:9" ht="14.25">
      <c r="A62" s="201" t="str">
        <f>'§29 dyretype indtastning'!A64</f>
        <v>Drænet gulv, % af farepladser</v>
      </c>
      <c r="B62" s="201"/>
      <c r="C62" s="201"/>
      <c r="D62" s="63">
        <f>'§29 dyretype indtastning'!D64</f>
        <v>0</v>
      </c>
      <c r="E62" s="63"/>
      <c r="F62" s="64">
        <f>'§29 dyretype indtastning'!F64</f>
        <v>0</v>
      </c>
      <c r="G62" s="64">
        <f>'§29 dyretype indtastning'!I64</f>
        <v>0</v>
      </c>
      <c r="H62" s="64">
        <f>'§29 dyretype indtastning'!L64</f>
        <v>0</v>
      </c>
      <c r="I62" s="64">
        <f>'§29 dyretype indtastning'!M64</f>
        <v>0</v>
      </c>
    </row>
    <row r="63" spans="1:9" ht="14.25">
      <c r="A63" s="201" t="str">
        <f>'§29 dyretype indtastning'!A65</f>
        <v>I alt farestalde (skal være 100%)</v>
      </c>
      <c r="B63" s="201"/>
      <c r="C63" s="201"/>
      <c r="D63" s="63">
        <f>'§29 dyretype indtastning'!D65</f>
        <v>100</v>
      </c>
      <c r="E63" s="63"/>
      <c r="F63" s="64">
        <f>'§29 dyretype indtastning'!F65</f>
        <v>0</v>
      </c>
      <c r="G63" s="64">
        <f>'§29 dyretype indtastning'!I65</f>
        <v>0</v>
      </c>
      <c r="H63" s="64">
        <f>'§29 dyretype indtastning'!L65</f>
        <v>0</v>
      </c>
      <c r="I63" s="64">
        <f>'§29 dyretype indtastning'!M65</f>
        <v>0</v>
      </c>
    </row>
    <row r="64" spans="1:9" ht="14.25">
      <c r="A64" s="219" t="str">
        <f>'§29 dyretype indtastning'!A66</f>
        <v>Løbe/dræ.stalde</v>
      </c>
      <c r="B64" s="222"/>
      <c r="C64" s="222"/>
      <c r="D64" s="221" t="str">
        <f>'§29 dyretype indtastning'!D66</f>
        <v>% af løbe/dr pladser</v>
      </c>
      <c r="E64" s="220"/>
      <c r="F64" s="223"/>
      <c r="G64" s="223"/>
      <c r="H64" s="223"/>
      <c r="I64" s="223"/>
    </row>
    <row r="65" spans="1:9" ht="14.25">
      <c r="A65" s="222" t="str">
        <f>'§29 dyretype indtastning'!A67</f>
        <v>Individuel opstaldning, delvis spaltegulv</v>
      </c>
      <c r="B65" s="222"/>
      <c r="C65" s="222"/>
      <c r="D65" s="220">
        <f>'§29 dyretype indtastning'!D67</f>
        <v>30</v>
      </c>
      <c r="E65" s="220"/>
      <c r="F65" s="223">
        <f>'§29 dyretype indtastning'!F67</f>
        <v>0</v>
      </c>
      <c r="G65" s="223">
        <f>'§29 dyretype indtastning'!I67</f>
        <v>0</v>
      </c>
      <c r="H65" s="223">
        <f>'§29 dyretype indtastning'!L67</f>
        <v>0</v>
      </c>
      <c r="I65" s="223">
        <f>'§29 dyretype indtastning'!M67</f>
        <v>0</v>
      </c>
    </row>
    <row r="66" spans="1:9" ht="14.25">
      <c r="A66" s="222" t="str">
        <f>'§29 dyretype indtastning'!A68</f>
        <v>Individuel opstaldning, fuldspaltegulv</v>
      </c>
      <c r="B66" s="222"/>
      <c r="C66" s="222"/>
      <c r="D66" s="220">
        <f>'§29 dyretype indtastning'!D68</f>
        <v>0</v>
      </c>
      <c r="E66" s="220"/>
      <c r="F66" s="223">
        <f>'§29 dyretype indtastning'!F68</f>
        <v>0</v>
      </c>
      <c r="G66" s="223">
        <f>'§29 dyretype indtastning'!I68</f>
        <v>0</v>
      </c>
      <c r="H66" s="223">
        <f>'§29 dyretype indtastning'!L68</f>
        <v>0</v>
      </c>
      <c r="I66" s="223">
        <f>'§29 dyretype indtastning'!M68</f>
        <v>0</v>
      </c>
    </row>
    <row r="67" spans="1:9" ht="14.25">
      <c r="A67" s="222" t="str">
        <f>'§29 dyretype indtastning'!A69</f>
        <v>Løse dybstrøelse + spaltegulv</v>
      </c>
      <c r="B67" s="222"/>
      <c r="C67" s="222"/>
      <c r="D67" s="220">
        <f>'§29 dyretype indtastning'!D69</f>
        <v>0</v>
      </c>
      <c r="E67" s="220"/>
      <c r="F67" s="223">
        <f>'§29 dyretype indtastning'!F69</f>
        <v>0</v>
      </c>
      <c r="G67" s="223">
        <f>'§29 dyretype indtastning'!I69</f>
        <v>0</v>
      </c>
      <c r="H67" s="223">
        <f>'§29 dyretype indtastning'!L69</f>
        <v>0</v>
      </c>
      <c r="I67" s="223">
        <f>'§29 dyretype indtastning'!M69</f>
        <v>0</v>
      </c>
    </row>
    <row r="68" spans="1:9" ht="14.25">
      <c r="A68" s="222" t="str">
        <f>'§29 dyretype indtastning'!A70</f>
        <v>Løse dybstrøelse + fast gulv</v>
      </c>
      <c r="B68" s="222"/>
      <c r="C68" s="222"/>
      <c r="D68" s="220">
        <f>'§29 dyretype indtastning'!D70</f>
        <v>0</v>
      </c>
      <c r="E68" s="220"/>
      <c r="F68" s="223">
        <f>'§29 dyretype indtastning'!F70</f>
        <v>0</v>
      </c>
      <c r="G68" s="223">
        <f>'§29 dyretype indtastning'!I70</f>
        <v>0</v>
      </c>
      <c r="H68" s="223">
        <f>'§29 dyretype indtastning'!L70</f>
        <v>0</v>
      </c>
      <c r="I68" s="223">
        <f>'§29 dyretype indtastning'!M70</f>
        <v>0</v>
      </c>
    </row>
    <row r="69" spans="1:9" ht="14.25">
      <c r="A69" s="222" t="str">
        <f>'§29 dyretype indtastning'!A71</f>
        <v>Løse dybstrøelse</v>
      </c>
      <c r="B69" s="222"/>
      <c r="C69" s="222"/>
      <c r="D69" s="220">
        <f>'§29 dyretype indtastning'!D71</f>
        <v>0</v>
      </c>
      <c r="E69" s="220"/>
      <c r="F69" s="223">
        <f>'§29 dyretype indtastning'!F71</f>
        <v>0</v>
      </c>
      <c r="G69" s="223">
        <f>'§29 dyretype indtastning'!I71</f>
        <v>0</v>
      </c>
      <c r="H69" s="223">
        <f>'§29 dyretype indtastning'!L71</f>
        <v>0</v>
      </c>
      <c r="I69" s="223">
        <f>'§29 dyretype indtastning'!M71</f>
        <v>0</v>
      </c>
    </row>
    <row r="70" spans="1:9" ht="14.25">
      <c r="A70" s="222" t="str">
        <f>'§29 dyretype indtastning'!A72</f>
        <v>Løse delvis spaltegulv</v>
      </c>
      <c r="B70" s="222"/>
      <c r="C70" s="222"/>
      <c r="D70" s="220">
        <f>'§29 dyretype indtastning'!D72</f>
        <v>70</v>
      </c>
      <c r="E70" s="220"/>
      <c r="F70" s="223">
        <f>'§29 dyretype indtastning'!F72</f>
        <v>0</v>
      </c>
      <c r="G70" s="223">
        <f>'§29 dyretype indtastning'!I72</f>
        <v>0</v>
      </c>
      <c r="H70" s="223">
        <f>'§29 dyretype indtastning'!L72</f>
        <v>0</v>
      </c>
      <c r="I70" s="223">
        <f>'§29 dyretype indtastning'!M72</f>
        <v>0</v>
      </c>
    </row>
    <row r="71" spans="1:9" ht="14.25">
      <c r="A71" s="222" t="str">
        <f>'§29 dyretype indtastning'!A73</f>
        <v>I alt løbe-dr.stalde(skal være 100%)</v>
      </c>
      <c r="B71" s="222"/>
      <c r="C71" s="222"/>
      <c r="D71" s="220">
        <f>'§29 dyretype indtastning'!D73</f>
        <v>100</v>
      </c>
      <c r="E71" s="220"/>
      <c r="F71" s="223">
        <f>'§29 dyretype indtastning'!F73</f>
        <v>0</v>
      </c>
      <c r="G71" s="223">
        <f>'§29 dyretype indtastning'!I73</f>
        <v>0</v>
      </c>
      <c r="H71" s="223">
        <f>'§29 dyretype indtastning'!L73</f>
        <v>0</v>
      </c>
      <c r="I71" s="223">
        <f>'§29 dyretype indtastning'!M73</f>
        <v>0</v>
      </c>
    </row>
    <row r="72" spans="1:9" ht="14.25">
      <c r="A72" s="202" t="str">
        <f>'§29 dyretype indtastning'!A74</f>
        <v>I alt hele produktion, overskridelser er røde, dog kun NH3 og lugt begrænsende!</v>
      </c>
      <c r="B72" s="202"/>
      <c r="C72" s="202"/>
      <c r="D72" s="211"/>
      <c r="E72" s="211">
        <f>'§29 dyretype indtastning'!E74</f>
        <v>0</v>
      </c>
      <c r="F72" s="211"/>
      <c r="G72" s="228">
        <f>G53+G58+G63+G71</f>
        <v>0</v>
      </c>
      <c r="H72" s="228">
        <f>H53+H58+H63+H71</f>
        <v>0</v>
      </c>
      <c r="I72" s="228">
        <f>I53+I58+I63+I71</f>
        <v>0</v>
      </c>
    </row>
    <row r="73" spans="1:13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sheetProtection password="DE48" sheet="1"/>
  <conditionalFormatting sqref="G72">
    <cfRule type="expression" priority="2" dxfId="3" stopIfTrue="1">
      <formula>IF(G72&gt;G47,1,0)</formula>
    </cfRule>
  </conditionalFormatting>
  <conditionalFormatting sqref="H72:I72">
    <cfRule type="expression" priority="1" dxfId="3" stopIfTrue="1">
      <formula>IF(H72&gt;H47,1,0)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9"/>
  <sheetViews>
    <sheetView workbookViewId="0" topLeftCell="A7">
      <selection activeCell="H65" sqref="H65"/>
    </sheetView>
  </sheetViews>
  <sheetFormatPr defaultColWidth="9.140625" defaultRowHeight="15"/>
  <cols>
    <col min="1" max="1" width="12.421875" style="0" customWidth="1"/>
    <col min="2" max="2" width="10.28125" style="0" customWidth="1"/>
    <col min="3" max="3" width="9.57421875" style="0" bestFit="1" customWidth="1"/>
    <col min="6" max="6" width="9.8515625" style="0" customWidth="1"/>
    <col min="11" max="11" width="10.421875" style="0" customWidth="1"/>
    <col min="12" max="12" width="10.57421875" style="0" bestFit="1" customWidth="1"/>
    <col min="16" max="16" width="9.8515625" style="0" customWidth="1"/>
  </cols>
  <sheetData>
    <row r="1" ht="21">
      <c r="A1" s="21" t="s">
        <v>168</v>
      </c>
    </row>
    <row r="2" spans="1:8" ht="15">
      <c r="A2" s="103" t="s">
        <v>169</v>
      </c>
      <c r="B2" s="99"/>
      <c r="C2" s="99"/>
      <c r="D2" s="99"/>
      <c r="E2" s="99"/>
      <c r="F2" s="99"/>
      <c r="G2" s="99"/>
      <c r="H2" s="99"/>
    </row>
    <row r="3" spans="1:12" ht="14.25">
      <c r="A3" t="s">
        <v>130</v>
      </c>
      <c r="H3" s="3"/>
      <c r="I3" s="3"/>
      <c r="J3" s="3"/>
      <c r="K3" s="3"/>
      <c r="L3" s="3"/>
    </row>
    <row r="4" spans="1:12" ht="14.25">
      <c r="A4" s="2" t="s">
        <v>82</v>
      </c>
      <c r="B4" s="2"/>
      <c r="C4" s="2"/>
      <c r="D4" s="30" t="s">
        <v>83</v>
      </c>
      <c r="E4" s="30"/>
      <c r="F4" s="30"/>
      <c r="G4" s="3"/>
      <c r="H4" s="3"/>
      <c r="I4" s="3"/>
      <c r="J4" s="3"/>
      <c r="K4" s="3"/>
      <c r="L4" s="3"/>
    </row>
    <row r="5" spans="1:14" ht="15">
      <c r="A5" s="96" t="s">
        <v>129</v>
      </c>
      <c r="B5" s="96"/>
      <c r="C5" s="96"/>
      <c r="G5" s="194" t="s">
        <v>190</v>
      </c>
      <c r="H5" s="151"/>
      <c r="I5" s="2"/>
      <c r="J5" s="172"/>
      <c r="K5" s="172"/>
      <c r="L5" s="172"/>
      <c r="M5" s="172"/>
      <c r="N5" s="172"/>
    </row>
    <row r="6" spans="10:14" ht="14.25">
      <c r="J6" s="172"/>
      <c r="K6" s="172"/>
      <c r="L6" s="172"/>
      <c r="M6" s="172"/>
      <c r="N6" s="172"/>
    </row>
    <row r="7" ht="14.25">
      <c r="A7" t="s">
        <v>170</v>
      </c>
    </row>
    <row r="8" spans="1:13" ht="14.25">
      <c r="A8" s="35" t="s">
        <v>174</v>
      </c>
      <c r="L8" s="3"/>
      <c r="M8" s="3"/>
    </row>
    <row r="10" ht="18">
      <c r="A10" s="98" t="s">
        <v>153</v>
      </c>
    </row>
    <row r="11" spans="1:5" ht="14.25">
      <c r="A11" t="s">
        <v>27</v>
      </c>
      <c r="C11" s="24" t="s">
        <v>23</v>
      </c>
      <c r="D11" s="24" t="s">
        <v>28</v>
      </c>
      <c r="E11" s="24" t="s">
        <v>29</v>
      </c>
    </row>
    <row r="12" spans="1:5" ht="14.25">
      <c r="A12" t="s">
        <v>131</v>
      </c>
      <c r="C12" s="5">
        <v>10000</v>
      </c>
      <c r="D12" s="5">
        <v>7.2</v>
      </c>
      <c r="E12" s="5">
        <v>32</v>
      </c>
    </row>
    <row r="13" spans="1:5" ht="14.25">
      <c r="A13" t="s">
        <v>185</v>
      </c>
      <c r="C13" s="24"/>
      <c r="D13" s="5">
        <v>7.2</v>
      </c>
      <c r="E13" s="5">
        <v>32</v>
      </c>
    </row>
    <row r="14" spans="3:4" ht="14.25">
      <c r="C14" s="24" t="s">
        <v>32</v>
      </c>
      <c r="D14" s="24" t="s">
        <v>32</v>
      </c>
    </row>
    <row r="15" spans="3:4" ht="14.25">
      <c r="C15" s="24" t="s">
        <v>38</v>
      </c>
      <c r="D15" s="24">
        <v>2017</v>
      </c>
    </row>
    <row r="16" spans="1:5" ht="14.25">
      <c r="A16" t="s">
        <v>104</v>
      </c>
      <c r="C16" s="1">
        <f>(25-D12)*C12/4000</f>
        <v>44.5</v>
      </c>
      <c r="D16" s="1">
        <f>(25-D12)*C12/5167</f>
        <v>34.44939036191214</v>
      </c>
      <c r="E16" t="s">
        <v>97</v>
      </c>
    </row>
    <row r="17" spans="1:5" ht="14.25">
      <c r="A17" t="s">
        <v>105</v>
      </c>
      <c r="C17" s="1">
        <f>(E12-25)/4000*C12</f>
        <v>17.5</v>
      </c>
      <c r="D17" s="1">
        <f>C17</f>
        <v>17.5</v>
      </c>
      <c r="E17" t="s">
        <v>121</v>
      </c>
    </row>
    <row r="18" spans="1:4" ht="14.25">
      <c r="A18" t="s">
        <v>31</v>
      </c>
      <c r="C18" s="1">
        <f>C16+C17</f>
        <v>62</v>
      </c>
      <c r="D18" s="73">
        <f>D16+D17</f>
        <v>51.94939036191214</v>
      </c>
    </row>
    <row r="19" spans="1:5" ht="14.25">
      <c r="A19" s="30" t="s">
        <v>183</v>
      </c>
      <c r="B19" s="30"/>
      <c r="C19" s="30"/>
      <c r="D19" s="30"/>
      <c r="E19" s="74">
        <f>(D18*5167)/(E13-D13)</f>
        <v>10823.487903225807</v>
      </c>
    </row>
    <row r="21" ht="18">
      <c r="A21" s="98" t="s">
        <v>143</v>
      </c>
    </row>
    <row r="22" ht="14.25">
      <c r="A22" s="3" t="s">
        <v>18</v>
      </c>
    </row>
    <row r="23" ht="14.25">
      <c r="A23" s="3"/>
    </row>
    <row r="24" ht="14.25">
      <c r="A24" s="3" t="s">
        <v>98</v>
      </c>
    </row>
    <row r="25" ht="14.25">
      <c r="A25" s="3" t="s">
        <v>106</v>
      </c>
    </row>
    <row r="26" ht="14.25">
      <c r="A26" s="3" t="s">
        <v>102</v>
      </c>
    </row>
    <row r="27" ht="14.25">
      <c r="A27" s="3" t="s">
        <v>103</v>
      </c>
    </row>
    <row r="28" ht="14.25">
      <c r="A28" s="3" t="s">
        <v>100</v>
      </c>
    </row>
    <row r="29" spans="1:11" ht="14.25">
      <c r="A29" s="3" t="s">
        <v>101</v>
      </c>
      <c r="G29" t="s">
        <v>20</v>
      </c>
      <c r="K29" t="s">
        <v>135</v>
      </c>
    </row>
    <row r="30" spans="3:14" ht="14.25">
      <c r="C30" s="24" t="s">
        <v>23</v>
      </c>
      <c r="G30" s="24" t="s">
        <v>33</v>
      </c>
      <c r="H30" s="24" t="s">
        <v>36</v>
      </c>
      <c r="K30" t="s">
        <v>138</v>
      </c>
      <c r="L30" s="3"/>
      <c r="M30" s="3"/>
      <c r="N30" s="3"/>
    </row>
    <row r="31" spans="3:14" ht="14.25">
      <c r="C31" s="24" t="s">
        <v>137</v>
      </c>
      <c r="D31" s="24" t="s">
        <v>28</v>
      </c>
      <c r="E31" s="24" t="s">
        <v>29</v>
      </c>
      <c r="G31" s="24" t="s">
        <v>34</v>
      </c>
      <c r="H31" s="24" t="s">
        <v>37</v>
      </c>
      <c r="I31" s="24" t="s">
        <v>35</v>
      </c>
      <c r="K31" s="109" t="s">
        <v>136</v>
      </c>
      <c r="L31" s="3"/>
      <c r="M31" s="3"/>
      <c r="N31" s="3"/>
    </row>
    <row r="32" spans="1:14" ht="14.25">
      <c r="A32" t="s">
        <v>20</v>
      </c>
      <c r="C32" s="113">
        <v>7350</v>
      </c>
      <c r="D32" s="110">
        <v>30</v>
      </c>
      <c r="E32" s="110">
        <v>102</v>
      </c>
      <c r="G32" s="90">
        <f>C32/H32</f>
        <v>35</v>
      </c>
      <c r="H32" s="6">
        <v>210</v>
      </c>
      <c r="I32" s="24" t="s">
        <v>38</v>
      </c>
      <c r="K32" s="111">
        <f>1/((40-D32)/4000+(87-40)/2500+(E32-87)/2000)</f>
        <v>34.72222222222222</v>
      </c>
      <c r="L32" s="112">
        <f>H32*K32</f>
        <v>7291.666666666666</v>
      </c>
      <c r="M32" s="3"/>
      <c r="N32" s="3"/>
    </row>
    <row r="33" spans="1:11" ht="14.25">
      <c r="A33" s="25" t="s">
        <v>127</v>
      </c>
      <c r="C33" s="32"/>
      <c r="D33" s="32"/>
      <c r="E33" s="32"/>
      <c r="F33" t="s">
        <v>99</v>
      </c>
      <c r="G33" s="81" t="s">
        <v>122</v>
      </c>
      <c r="H33" s="79"/>
      <c r="I33" s="80"/>
      <c r="J33" s="83"/>
      <c r="K33" s="82"/>
    </row>
    <row r="34" spans="1:9" ht="14.25">
      <c r="A34" t="s">
        <v>30</v>
      </c>
      <c r="C34" s="29"/>
      <c r="D34" s="5">
        <v>31</v>
      </c>
      <c r="E34" s="5">
        <v>113</v>
      </c>
      <c r="F34" s="27">
        <f>(40-D34)/5167+(87-40)/3088+(E34-87)/2254</f>
        <v>0.028497079164202126</v>
      </c>
      <c r="G34" s="90">
        <f>1/F34</f>
        <v>35.09131564810314</v>
      </c>
      <c r="H34" s="1">
        <f>C34*F34</f>
        <v>0</v>
      </c>
      <c r="I34" s="24" t="s">
        <v>128</v>
      </c>
    </row>
    <row r="35" spans="1:9" ht="14.25">
      <c r="A35" s="30" t="s">
        <v>184</v>
      </c>
      <c r="B35" s="30"/>
      <c r="C35" s="26">
        <f>H32/F34</f>
        <v>7369.17628610166</v>
      </c>
      <c r="D35" s="31">
        <f>D34</f>
        <v>31</v>
      </c>
      <c r="E35" s="31">
        <f>E34</f>
        <v>113</v>
      </c>
      <c r="F35" s="28">
        <f>F34</f>
        <v>0.028497079164202126</v>
      </c>
      <c r="G35" s="90">
        <f>G34</f>
        <v>35.09131564810314</v>
      </c>
      <c r="H35" s="73">
        <f>C35*F35</f>
        <v>210</v>
      </c>
      <c r="I35" s="24" t="s">
        <v>128</v>
      </c>
    </row>
    <row r="36" spans="1:9" ht="14.25">
      <c r="A36" s="3"/>
      <c r="B36" s="3"/>
      <c r="C36" s="114"/>
      <c r="D36" s="32"/>
      <c r="E36" s="32"/>
      <c r="F36" s="116"/>
      <c r="G36" s="117"/>
      <c r="H36" s="115"/>
      <c r="I36" s="24"/>
    </row>
    <row r="37" spans="1:11" ht="14.25">
      <c r="A37" s="135" t="s">
        <v>171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ht="14.25">
      <c r="A38" s="135" t="s">
        <v>172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11" ht="14.25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2" ht="14.25">
      <c r="A40" s="195" t="s">
        <v>190</v>
      </c>
      <c r="B40" s="2"/>
      <c r="C40" s="172"/>
      <c r="D40" s="172"/>
      <c r="E40" s="172"/>
      <c r="F40" s="172"/>
      <c r="G40" s="172"/>
      <c r="H40" s="172"/>
      <c r="I40" s="172"/>
      <c r="J40" s="172"/>
      <c r="K40" s="172"/>
      <c r="L40" s="172"/>
    </row>
    <row r="41" spans="1:12" ht="14.25">
      <c r="A41" s="7"/>
      <c r="B41" s="3"/>
      <c r="C41" s="172"/>
      <c r="D41" s="172"/>
      <c r="E41" s="172"/>
      <c r="F41" s="172"/>
      <c r="G41" s="172"/>
      <c r="H41" s="172"/>
      <c r="I41" s="172"/>
      <c r="J41" s="172"/>
      <c r="K41" s="172"/>
      <c r="L41" s="172"/>
    </row>
    <row r="42" spans="1:9" ht="14.25">
      <c r="A42" s="3"/>
      <c r="B42" s="3"/>
      <c r="C42" s="114"/>
      <c r="D42" s="32"/>
      <c r="E42" s="32"/>
      <c r="F42" s="116"/>
      <c r="G42" s="117"/>
      <c r="H42" s="115"/>
      <c r="I42" s="32"/>
    </row>
    <row r="43" spans="1:9" ht="18">
      <c r="A43" s="106" t="s">
        <v>142</v>
      </c>
      <c r="B43" s="3"/>
      <c r="C43" s="114"/>
      <c r="D43" s="32"/>
      <c r="E43" s="32"/>
      <c r="F43" s="116"/>
      <c r="G43" s="117"/>
      <c r="H43" s="115"/>
      <c r="I43" s="32"/>
    </row>
    <row r="44" spans="1:9" ht="14.25">
      <c r="A44" s="7" t="s">
        <v>144</v>
      </c>
      <c r="B44" s="3"/>
      <c r="C44" s="114"/>
      <c r="D44" s="32"/>
      <c r="E44" s="32"/>
      <c r="F44" s="116"/>
      <c r="G44" s="117"/>
      <c r="H44" s="115"/>
      <c r="I44" s="32"/>
    </row>
    <row r="45" spans="1:11" ht="18">
      <c r="A45" s="106"/>
      <c r="B45" s="3"/>
      <c r="C45" s="114"/>
      <c r="D45" s="32"/>
      <c r="E45" s="32"/>
      <c r="F45" s="116"/>
      <c r="G45" t="s">
        <v>20</v>
      </c>
      <c r="K45" t="s">
        <v>135</v>
      </c>
    </row>
    <row r="46" spans="1:12" ht="14.25">
      <c r="A46" s="3"/>
      <c r="B46" s="3"/>
      <c r="C46" s="114"/>
      <c r="D46" s="32"/>
      <c r="E46" s="32"/>
      <c r="F46" s="116"/>
      <c r="G46" s="24" t="s">
        <v>33</v>
      </c>
      <c r="H46" s="24" t="s">
        <v>36</v>
      </c>
      <c r="K46" t="s">
        <v>138</v>
      </c>
      <c r="L46" s="3"/>
    </row>
    <row r="47" spans="1:12" ht="14.25">
      <c r="A47" t="s">
        <v>140</v>
      </c>
      <c r="C47" s="24" t="s">
        <v>23</v>
      </c>
      <c r="D47" s="24" t="s">
        <v>28</v>
      </c>
      <c r="E47" s="24" t="s">
        <v>29</v>
      </c>
      <c r="G47" s="24" t="s">
        <v>34</v>
      </c>
      <c r="H47" s="24" t="s">
        <v>37</v>
      </c>
      <c r="I47" s="24" t="s">
        <v>35</v>
      </c>
      <c r="K47" s="109" t="s">
        <v>136</v>
      </c>
      <c r="L47" s="3"/>
    </row>
    <row r="48" spans="1:14" ht="14.25">
      <c r="A48" t="s">
        <v>131</v>
      </c>
      <c r="C48" s="110">
        <v>6090</v>
      </c>
      <c r="D48" s="110">
        <v>7.2</v>
      </c>
      <c r="E48" s="110">
        <v>102</v>
      </c>
      <c r="G48" s="90">
        <f>C48/H48</f>
        <v>29</v>
      </c>
      <c r="H48" s="6">
        <v>210</v>
      </c>
      <c r="I48" s="24" t="s">
        <v>38</v>
      </c>
      <c r="K48" s="111">
        <f>1/((40-D48)/4000+(87-40)/2500+(E48-87)/2000)</f>
        <v>28.98550724637681</v>
      </c>
      <c r="L48" s="112">
        <f>H48*K48</f>
        <v>6086.95652173913</v>
      </c>
      <c r="N48" s="116"/>
    </row>
    <row r="49" spans="1:9" ht="14.25">
      <c r="A49" t="s">
        <v>185</v>
      </c>
      <c r="C49" s="24"/>
      <c r="D49" s="5">
        <v>7.2</v>
      </c>
      <c r="E49" s="5">
        <v>113</v>
      </c>
      <c r="G49" s="117"/>
      <c r="H49" s="115"/>
      <c r="I49" s="32"/>
    </row>
    <row r="50" spans="3:9" ht="14.25">
      <c r="C50" s="24" t="s">
        <v>32</v>
      </c>
      <c r="D50" s="24" t="s">
        <v>32</v>
      </c>
      <c r="G50" s="117"/>
      <c r="H50" s="115"/>
      <c r="I50" s="32"/>
    </row>
    <row r="51" spans="3:9" ht="14.25">
      <c r="C51" s="24" t="s">
        <v>38</v>
      </c>
      <c r="D51" s="24">
        <v>2017</v>
      </c>
      <c r="G51" s="117"/>
      <c r="H51" s="115"/>
      <c r="I51" s="32"/>
    </row>
    <row r="52" spans="1:9" ht="14.25">
      <c r="A52" t="s">
        <v>104</v>
      </c>
      <c r="C52" s="1">
        <f>(25-D48)*C48/4000</f>
        <v>27.1005</v>
      </c>
      <c r="D52" s="1">
        <f>(25-D48)*C48/5167</f>
        <v>20.97967873040449</v>
      </c>
      <c r="E52" t="s">
        <v>97</v>
      </c>
      <c r="G52" s="117"/>
      <c r="H52" s="115"/>
      <c r="I52" s="32"/>
    </row>
    <row r="53" spans="1:9" ht="14.25">
      <c r="A53" t="s">
        <v>105</v>
      </c>
      <c r="C53" s="111">
        <f>H48-C52</f>
        <v>182.8995</v>
      </c>
      <c r="D53" s="1">
        <f>C53</f>
        <v>182.8995</v>
      </c>
      <c r="E53" t="s">
        <v>121</v>
      </c>
      <c r="G53" s="117"/>
      <c r="H53" s="115"/>
      <c r="I53" s="32"/>
    </row>
    <row r="54" spans="1:10" ht="14.25">
      <c r="A54" t="s">
        <v>31</v>
      </c>
      <c r="C54" s="1">
        <f>C52+C53</f>
        <v>210</v>
      </c>
      <c r="D54" s="73">
        <f>D52+D53</f>
        <v>203.87917873040448</v>
      </c>
      <c r="F54" s="229" t="s">
        <v>154</v>
      </c>
      <c r="G54" s="230"/>
      <c r="H54" s="231"/>
      <c r="I54" s="232"/>
      <c r="J54" s="233">
        <f>(40-D49)/5167+(87-40)/3088+(E49-87)/2254</f>
        <v>0.03310323360585105</v>
      </c>
    </row>
    <row r="55" spans="1:9" ht="14.25">
      <c r="A55" s="30" t="s">
        <v>183</v>
      </c>
      <c r="B55" s="30"/>
      <c r="C55" s="30"/>
      <c r="D55" s="30"/>
      <c r="E55" s="74">
        <f>D54/J54</f>
        <v>6158.8901301282085</v>
      </c>
      <c r="G55" s="117"/>
      <c r="H55" s="115"/>
      <c r="I55" s="24"/>
    </row>
    <row r="56" spans="1:9" ht="14.25">
      <c r="A56" s="3"/>
      <c r="B56" s="3"/>
      <c r="C56" s="3"/>
      <c r="D56" s="3"/>
      <c r="E56" s="119"/>
      <c r="G56" s="117"/>
      <c r="H56" s="115"/>
      <c r="I56" s="24"/>
    </row>
    <row r="57" spans="1:11" ht="14.25">
      <c r="A57" s="135" t="s">
        <v>171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4.25">
      <c r="A58" s="135" t="s">
        <v>172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9" ht="14.25">
      <c r="A59" s="3"/>
      <c r="B59" s="3"/>
      <c r="C59" s="3"/>
      <c r="D59" s="3"/>
      <c r="E59" s="119"/>
      <c r="F59" s="3"/>
      <c r="G59" s="117"/>
      <c r="H59" s="115"/>
      <c r="I59" s="24"/>
    </row>
    <row r="60" ht="17.25">
      <c r="A60" s="92"/>
    </row>
    <row r="61" ht="14.25">
      <c r="A61" s="118"/>
    </row>
    <row r="62" spans="1:15" ht="15">
      <c r="A62" s="12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">
      <c r="A63" s="12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">
      <c r="A64" s="12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">
      <c r="A65" s="12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">
      <c r="A66" s="12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4.25">
      <c r="A67" s="12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4.25">
      <c r="A68" s="93"/>
      <c r="B68" s="12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4.25">
      <c r="A69" s="93"/>
      <c r="B69" s="12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4.25">
      <c r="A70" s="93"/>
      <c r="B70" s="3"/>
      <c r="C70" s="3"/>
      <c r="D70" s="12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4.25">
      <c r="A71" s="3"/>
      <c r="B71" s="3"/>
      <c r="C71" s="3"/>
      <c r="D71" s="13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4.25">
      <c r="A72" s="3"/>
      <c r="B72" s="3"/>
      <c r="C72" s="3"/>
      <c r="D72" s="10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4.25">
      <c r="A73" s="3"/>
      <c r="B73" s="3"/>
      <c r="C73" s="3"/>
      <c r="D73" s="10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4.25">
      <c r="A74" s="3"/>
      <c r="B74" s="3"/>
      <c r="C74" s="3"/>
      <c r="D74" s="10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="3" customFormat="1" ht="14.25">
      <c r="D75" s="105"/>
    </row>
    <row r="76" spans="1:15" ht="14.25">
      <c r="A76" s="3"/>
      <c r="B76" s="3"/>
      <c r="C76" s="3"/>
      <c r="D76" s="10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4.25">
      <c r="A77" s="3"/>
      <c r="B77" s="3"/>
      <c r="C77" s="3"/>
      <c r="D77" s="10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4.25">
      <c r="A78" s="3"/>
      <c r="B78" s="3"/>
      <c r="C78" s="3"/>
      <c r="D78" s="105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4.25">
      <c r="A79" s="3"/>
      <c r="B79" s="3"/>
      <c r="C79" s="3"/>
      <c r="D79" s="105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4.25">
      <c r="A80" s="3"/>
      <c r="B80" s="3"/>
      <c r="C80" s="3"/>
      <c r="D80" s="105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8">
      <c r="A81" s="106"/>
      <c r="B81" s="106"/>
      <c r="C81" s="106"/>
      <c r="D81" s="106"/>
      <c r="E81" s="106"/>
      <c r="F81" s="127"/>
      <c r="G81" s="127"/>
      <c r="H81" s="127"/>
      <c r="I81" s="127"/>
      <c r="J81" s="3"/>
      <c r="K81" s="3"/>
      <c r="L81" s="3"/>
      <c r="M81" s="3"/>
      <c r="N81" s="3"/>
      <c r="O81" s="3"/>
    </row>
    <row r="82" spans="1:15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4.25">
      <c r="A83" s="3"/>
      <c r="B83" s="3"/>
      <c r="C83" s="3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4.25">
      <c r="A84" s="3"/>
      <c r="B84" s="3"/>
      <c r="C84" s="131"/>
      <c r="D84" s="94"/>
      <c r="E84" s="3"/>
      <c r="F84" s="128"/>
      <c r="G84" s="94"/>
      <c r="H84" s="3"/>
      <c r="I84" s="3"/>
      <c r="J84" s="3"/>
      <c r="K84" s="3"/>
      <c r="L84" s="3"/>
      <c r="M84" s="3"/>
      <c r="N84" s="3"/>
      <c r="O84" s="3"/>
    </row>
    <row r="85" spans="1:15" ht="14.25">
      <c r="A85" s="3"/>
      <c r="B85" s="3"/>
      <c r="C85" s="131"/>
      <c r="D85" s="94"/>
      <c r="E85" s="3"/>
      <c r="F85" s="128"/>
      <c r="G85" s="94"/>
      <c r="H85" s="3"/>
      <c r="I85" s="3"/>
      <c r="J85" s="3"/>
      <c r="K85" s="3"/>
      <c r="L85" s="3"/>
      <c r="M85" s="3"/>
      <c r="N85" s="3"/>
      <c r="O85" s="3"/>
    </row>
    <row r="86" spans="1:15" ht="14.25">
      <c r="A86" s="3"/>
      <c r="B86" s="3"/>
      <c r="C86" s="131"/>
      <c r="D86" s="94"/>
      <c r="E86" s="3"/>
      <c r="F86" s="128"/>
      <c r="G86" s="94"/>
      <c r="H86" s="3"/>
      <c r="I86" s="3"/>
      <c r="J86" s="3"/>
      <c r="K86" s="3"/>
      <c r="L86" s="3"/>
      <c r="M86" s="3"/>
      <c r="N86" s="3"/>
      <c r="O86" s="3"/>
    </row>
    <row r="87" spans="1:15" ht="14.25">
      <c r="A87" s="3"/>
      <c r="B87" s="3"/>
      <c r="C87" s="131"/>
      <c r="D87" s="94"/>
      <c r="E87" s="3"/>
      <c r="F87" s="128"/>
      <c r="G87" s="94"/>
      <c r="H87" s="3"/>
      <c r="I87" s="3"/>
      <c r="J87" s="3"/>
      <c r="K87" s="3"/>
      <c r="L87" s="3"/>
      <c r="M87" s="3"/>
      <c r="N87" s="3"/>
      <c r="O87" s="3"/>
    </row>
    <row r="88" spans="1:15" ht="14.25">
      <c r="A88" s="3"/>
      <c r="B88" s="3"/>
      <c r="C88" s="132"/>
      <c r="D88" s="9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25" ht="14.25">
      <c r="A89" s="3"/>
      <c r="B89" s="9"/>
      <c r="C89" s="9"/>
      <c r="D89" s="9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95"/>
      <c r="R89" s="3"/>
      <c r="S89" s="3"/>
      <c r="T89" s="3"/>
      <c r="U89" s="3"/>
      <c r="V89" s="3"/>
      <c r="W89" s="3"/>
      <c r="X89" s="3"/>
      <c r="Y89" s="3"/>
    </row>
    <row r="90" spans="1:25" ht="14.25">
      <c r="A90" s="7"/>
      <c r="B90" s="3"/>
      <c r="C90" s="117"/>
      <c r="D90" s="9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94"/>
      <c r="R90" s="3"/>
      <c r="S90" s="3"/>
      <c r="T90" s="3"/>
      <c r="U90" s="3"/>
      <c r="V90" s="3"/>
      <c r="W90" s="3"/>
      <c r="X90" s="3"/>
      <c r="Y90" s="3"/>
    </row>
    <row r="91" spans="1:25" ht="14.25">
      <c r="A91" s="3"/>
      <c r="B91" s="3"/>
      <c r="C91" s="117"/>
      <c r="D91" s="9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94"/>
      <c r="R91" s="3"/>
      <c r="S91" s="3"/>
      <c r="T91" s="3"/>
      <c r="U91" s="3"/>
      <c r="V91" s="3"/>
      <c r="W91" s="3"/>
      <c r="X91" s="3"/>
      <c r="Y91" s="3"/>
    </row>
    <row r="92" spans="1:25" ht="14.25">
      <c r="A92" s="3"/>
      <c r="B92" s="3"/>
      <c r="C92" s="117"/>
      <c r="D92" s="94"/>
      <c r="E92" s="3"/>
      <c r="F92" s="3"/>
      <c r="G92" s="94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>
      <c r="A93" s="3"/>
      <c r="B93" s="3"/>
      <c r="C93" s="3"/>
      <c r="D93" s="108"/>
      <c r="E93" s="108"/>
      <c r="F93" s="108"/>
      <c r="G93" s="108"/>
      <c r="H93" s="108"/>
      <c r="I93" s="3"/>
      <c r="J93" s="3"/>
      <c r="K93" s="3"/>
      <c r="L93" s="3"/>
      <c r="M93" s="97"/>
      <c r="N93" s="3"/>
      <c r="O93" s="97"/>
      <c r="Q93" s="95"/>
      <c r="R93" s="3"/>
      <c r="S93" s="3"/>
      <c r="T93" s="3"/>
      <c r="U93" s="3"/>
      <c r="V93" s="3"/>
      <c r="W93" s="3"/>
      <c r="X93" s="3"/>
      <c r="Y93" s="3"/>
    </row>
    <row r="94" spans="1:25" ht="14.25">
      <c r="A94" s="9"/>
      <c r="B94" s="3"/>
      <c r="C94" s="3"/>
      <c r="D94" s="97"/>
      <c r="E94" s="97"/>
      <c r="F94" s="97"/>
      <c r="G94" s="97"/>
      <c r="H94" s="97"/>
      <c r="I94" s="3"/>
      <c r="J94" s="3"/>
      <c r="K94" s="3"/>
      <c r="L94" s="3"/>
      <c r="M94" s="97"/>
      <c r="N94" s="3"/>
      <c r="O94" s="97"/>
      <c r="Q94" s="95"/>
      <c r="R94" s="3"/>
      <c r="S94" s="3"/>
      <c r="T94" s="3"/>
      <c r="U94" s="3"/>
      <c r="V94" s="3"/>
      <c r="W94" s="3"/>
      <c r="X94" s="3"/>
      <c r="Y94" s="3"/>
    </row>
    <row r="95" spans="1:25" ht="14.25">
      <c r="A95" s="133"/>
      <c r="B95" s="3"/>
      <c r="C95" s="3"/>
      <c r="D95" s="97"/>
      <c r="E95" s="97"/>
      <c r="F95" s="97"/>
      <c r="G95" s="97"/>
      <c r="H95" s="97"/>
      <c r="I95" s="3"/>
      <c r="J95" s="3"/>
      <c r="K95" s="3"/>
      <c r="L95" s="3"/>
      <c r="M95" s="97"/>
      <c r="N95" s="3"/>
      <c r="O95" s="97"/>
      <c r="P95" s="3"/>
      <c r="Q95" s="95"/>
      <c r="R95" s="3"/>
      <c r="S95" s="3"/>
      <c r="T95" s="3"/>
      <c r="U95" s="3"/>
      <c r="V95" s="3"/>
      <c r="W95" s="3"/>
      <c r="X95" s="3"/>
      <c r="Y95" s="3"/>
    </row>
    <row r="96" spans="1:16" ht="14.25">
      <c r="A96" s="3"/>
      <c r="B96" s="3"/>
      <c r="C96" s="3"/>
      <c r="D96" s="134"/>
      <c r="E96" s="94"/>
      <c r="F96" s="3"/>
      <c r="G96" s="3"/>
      <c r="H96" s="3"/>
      <c r="I96" s="133"/>
      <c r="J96" s="3"/>
      <c r="K96" s="3"/>
      <c r="L96" s="3"/>
      <c r="M96" s="3"/>
      <c r="N96" s="3"/>
      <c r="O96" s="3"/>
      <c r="P96" s="3"/>
    </row>
    <row r="97" spans="1:16" ht="14.25">
      <c r="A97" s="3"/>
      <c r="B97" s="3"/>
      <c r="C97" s="97"/>
      <c r="D97" s="107"/>
      <c r="E97" s="107"/>
      <c r="F97" s="107"/>
      <c r="G97" s="107"/>
      <c r="H97" s="107"/>
      <c r="I97" s="94"/>
      <c r="J97" s="3"/>
      <c r="K97" s="3"/>
      <c r="L97" s="3"/>
      <c r="M97" s="3"/>
      <c r="N97" s="3"/>
      <c r="O97" s="3"/>
      <c r="P97" s="3"/>
    </row>
    <row r="98" spans="3:16" ht="14.25">
      <c r="C98" s="97"/>
      <c r="D98" s="9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3" ht="18">
      <c r="A99" s="106"/>
      <c r="B99" s="7"/>
      <c r="C99" s="7"/>
      <c r="D99" s="95"/>
      <c r="E99" s="7"/>
      <c r="F99" s="7"/>
      <c r="G99" s="7"/>
      <c r="H99" s="7"/>
      <c r="I99" s="7"/>
      <c r="J99" s="3"/>
      <c r="K99" s="3"/>
      <c r="L99" s="3"/>
      <c r="M99" s="3"/>
    </row>
    <row r="100" spans="1:13" ht="14.25">
      <c r="A100" s="7"/>
      <c r="B100" s="7"/>
      <c r="C100" s="7"/>
      <c r="D100" s="95"/>
      <c r="E100" s="7"/>
      <c r="F100" s="7"/>
      <c r="G100" s="7"/>
      <c r="H100" s="7"/>
      <c r="I100" s="7"/>
      <c r="J100" s="3"/>
      <c r="K100" s="3"/>
      <c r="L100" s="3"/>
      <c r="M100" s="3"/>
    </row>
    <row r="101" spans="1:13" ht="14.25">
      <c r="A101" s="7"/>
      <c r="B101" s="7"/>
      <c r="C101" s="7"/>
      <c r="D101" s="95"/>
      <c r="E101" s="7"/>
      <c r="F101" s="7"/>
      <c r="G101" s="7"/>
      <c r="H101" s="7"/>
      <c r="I101" s="7"/>
      <c r="J101" s="3"/>
      <c r="K101" s="3"/>
      <c r="L101" s="3"/>
      <c r="M101" s="3"/>
    </row>
    <row r="102" spans="1:13" ht="14.25">
      <c r="A102" s="7"/>
      <c r="B102" s="7"/>
      <c r="C102" s="7"/>
      <c r="D102" s="95"/>
      <c r="E102" s="7"/>
      <c r="F102" s="7"/>
      <c r="G102" s="7"/>
      <c r="H102" s="7"/>
      <c r="I102" s="7"/>
      <c r="J102" s="3"/>
      <c r="K102" s="3"/>
      <c r="L102" s="3"/>
      <c r="M102" s="3"/>
    </row>
    <row r="103" spans="1:13" ht="14.25">
      <c r="A103" s="7"/>
      <c r="B103" s="7"/>
      <c r="C103" s="7"/>
      <c r="D103" s="95"/>
      <c r="E103" s="7"/>
      <c r="F103" s="7"/>
      <c r="G103" s="7"/>
      <c r="H103" s="7"/>
      <c r="I103" s="7"/>
      <c r="J103" s="3"/>
      <c r="K103" s="3"/>
      <c r="L103" s="3"/>
      <c r="M103" s="3"/>
    </row>
    <row r="104" spans="1:13" ht="14.25">
      <c r="A104" s="104"/>
      <c r="B104" s="3"/>
      <c r="C104" s="3"/>
      <c r="D104" s="94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4.25">
      <c r="A105" s="3"/>
      <c r="B105" s="3"/>
      <c r="C105" s="3"/>
      <c r="D105" s="94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40" spans="2:3" ht="14.25">
      <c r="B140" s="69"/>
      <c r="C140" s="24"/>
    </row>
    <row r="141" spans="2:3" ht="14.25">
      <c r="B141" s="24"/>
      <c r="C141" s="24"/>
    </row>
    <row r="142" spans="2:6" ht="14.25">
      <c r="B142" s="24"/>
      <c r="C142" s="24"/>
      <c r="F142" s="25"/>
    </row>
    <row r="143" spans="2:3" ht="14.25">
      <c r="B143" s="24"/>
      <c r="C143" s="24"/>
    </row>
    <row r="144" spans="2:3" ht="14.25">
      <c r="B144" s="24"/>
      <c r="C144" s="24"/>
    </row>
    <row r="145" ht="14.25">
      <c r="B145" s="25"/>
    </row>
    <row r="146" spans="2:3" ht="14.25">
      <c r="B146" s="25"/>
      <c r="C146" s="25"/>
    </row>
    <row r="147" spans="2:3" ht="14.25">
      <c r="B147" s="24"/>
      <c r="C147" s="24"/>
    </row>
    <row r="148" ht="14.25">
      <c r="C148" s="1"/>
    </row>
    <row r="149" ht="14.25">
      <c r="C149" s="1"/>
    </row>
  </sheetData>
  <sheetProtection password="DE48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49"/>
  <sheetViews>
    <sheetView workbookViewId="0" topLeftCell="A1">
      <selection activeCell="M17" sqref="M17"/>
    </sheetView>
  </sheetViews>
  <sheetFormatPr defaultColWidth="9.140625" defaultRowHeight="15"/>
  <cols>
    <col min="1" max="1" width="12.421875" style="0" customWidth="1"/>
    <col min="2" max="2" width="10.28125" style="0" customWidth="1"/>
    <col min="3" max="3" width="9.57421875" style="0" bestFit="1" customWidth="1"/>
    <col min="6" max="6" width="9.8515625" style="0" customWidth="1"/>
    <col min="11" max="11" width="10.421875" style="0" customWidth="1"/>
    <col min="12" max="12" width="10.57421875" style="0" bestFit="1" customWidth="1"/>
    <col min="16" max="16" width="9.8515625" style="0" customWidth="1"/>
  </cols>
  <sheetData>
    <row r="1" ht="21">
      <c r="A1" s="21" t="s">
        <v>173</v>
      </c>
    </row>
    <row r="2" spans="1:8" ht="15">
      <c r="A2" s="103" t="s">
        <v>169</v>
      </c>
      <c r="B2" s="99"/>
      <c r="C2" s="99"/>
      <c r="D2" s="99"/>
      <c r="E2" s="99"/>
      <c r="F2" s="99"/>
      <c r="G2" s="99"/>
      <c r="H2" s="99"/>
    </row>
    <row r="3" spans="1:12" ht="14.25">
      <c r="A3" t="s">
        <v>133</v>
      </c>
      <c r="H3" s="3"/>
      <c r="I3" s="3"/>
      <c r="J3" s="3"/>
      <c r="K3" s="3"/>
      <c r="L3" s="3"/>
    </row>
    <row r="4" spans="1:12" ht="14.25">
      <c r="A4" s="2" t="s">
        <v>82</v>
      </c>
      <c r="B4" s="2"/>
      <c r="C4" s="2"/>
      <c r="D4" s="30" t="s">
        <v>83</v>
      </c>
      <c r="E4" s="30"/>
      <c r="F4" s="30"/>
      <c r="G4" s="3"/>
      <c r="H4" s="3"/>
      <c r="I4" s="3"/>
      <c r="J4" s="3"/>
      <c r="K4" s="3"/>
      <c r="L4" s="3"/>
    </row>
    <row r="5" spans="1:14" ht="15">
      <c r="A5" s="96" t="s">
        <v>129</v>
      </c>
      <c r="B5" s="96"/>
      <c r="C5" s="96"/>
      <c r="G5" s="194" t="s">
        <v>190</v>
      </c>
      <c r="H5" s="151"/>
      <c r="I5" s="2"/>
      <c r="J5" s="172"/>
      <c r="K5" s="172"/>
      <c r="L5" s="172"/>
      <c r="M5" s="172"/>
      <c r="N5" s="172"/>
    </row>
    <row r="6" spans="10:14" ht="14.25">
      <c r="J6" s="172"/>
      <c r="K6" s="172"/>
      <c r="L6" s="172"/>
      <c r="M6" s="172"/>
      <c r="N6" s="172"/>
    </row>
    <row r="7" ht="14.25">
      <c r="A7" t="s">
        <v>170</v>
      </c>
    </row>
    <row r="8" spans="1:13" ht="14.25">
      <c r="A8" s="35" t="s">
        <v>174</v>
      </c>
      <c r="L8" s="3"/>
      <c r="M8" s="3"/>
    </row>
    <row r="10" ht="18">
      <c r="A10" s="98" t="s">
        <v>132</v>
      </c>
    </row>
    <row r="11" spans="1:5" ht="14.25">
      <c r="A11" t="s">
        <v>27</v>
      </c>
      <c r="C11" s="24" t="s">
        <v>23</v>
      </c>
      <c r="D11" s="24" t="s">
        <v>28</v>
      </c>
      <c r="E11" s="24" t="s">
        <v>29</v>
      </c>
    </row>
    <row r="12" spans="1:5" ht="14.25">
      <c r="A12" t="s">
        <v>146</v>
      </c>
      <c r="C12" s="5">
        <v>10000</v>
      </c>
      <c r="D12" s="5">
        <v>7.2</v>
      </c>
      <c r="E12" s="5">
        <v>35</v>
      </c>
    </row>
    <row r="13" spans="1:5" ht="14.25">
      <c r="A13" t="s">
        <v>185</v>
      </c>
      <c r="C13" s="24"/>
      <c r="D13" s="5">
        <v>7.2</v>
      </c>
      <c r="E13" s="5">
        <v>35</v>
      </c>
    </row>
    <row r="14" spans="3:4" ht="14.25">
      <c r="C14" s="24" t="s">
        <v>32</v>
      </c>
      <c r="D14" s="24" t="s">
        <v>32</v>
      </c>
    </row>
    <row r="15" spans="3:4" ht="14.25">
      <c r="C15" s="24" t="s">
        <v>145</v>
      </c>
      <c r="D15" s="24">
        <v>2017</v>
      </c>
    </row>
    <row r="16" spans="1:5" ht="14.25">
      <c r="A16" t="s">
        <v>104</v>
      </c>
      <c r="C16" s="1">
        <f>(25-D12)*C12/4940</f>
        <v>36.03238866396761</v>
      </c>
      <c r="D16" s="1">
        <f>(25-D12)*C12/5167</f>
        <v>34.44939036191214</v>
      </c>
      <c r="E16" t="s">
        <v>97</v>
      </c>
    </row>
    <row r="17" spans="1:5" ht="14.25">
      <c r="A17" t="s">
        <v>105</v>
      </c>
      <c r="C17" s="1">
        <f>(E12-25)/4940*C12</f>
        <v>20.242914979757085</v>
      </c>
      <c r="D17" s="1">
        <f>C17</f>
        <v>20.242914979757085</v>
      </c>
      <c r="E17" t="s">
        <v>121</v>
      </c>
    </row>
    <row r="18" spans="1:4" ht="14.25">
      <c r="A18" t="s">
        <v>31</v>
      </c>
      <c r="C18" s="1">
        <f>C16+C17</f>
        <v>56.2753036437247</v>
      </c>
      <c r="D18" s="73">
        <f>D16+D17</f>
        <v>54.692305341669226</v>
      </c>
    </row>
    <row r="19" spans="1:5" ht="14.25">
      <c r="A19" s="30" t="s">
        <v>183</v>
      </c>
      <c r="B19" s="30"/>
      <c r="C19" s="30"/>
      <c r="D19" s="30"/>
      <c r="E19" s="74">
        <f>(D18*5167)/(E13-D13)</f>
        <v>10165.292866921038</v>
      </c>
    </row>
    <row r="21" ht="18">
      <c r="A21" s="98" t="s">
        <v>143</v>
      </c>
    </row>
    <row r="22" ht="14.25">
      <c r="A22" s="3" t="s">
        <v>18</v>
      </c>
    </row>
    <row r="23" ht="14.25">
      <c r="A23" s="3"/>
    </row>
    <row r="24" ht="14.25">
      <c r="A24" s="3" t="s">
        <v>149</v>
      </c>
    </row>
    <row r="25" ht="14.25">
      <c r="A25" s="3" t="s">
        <v>150</v>
      </c>
    </row>
    <row r="26" ht="14.25">
      <c r="A26" s="3" t="s">
        <v>148</v>
      </c>
    </row>
    <row r="27" ht="14.25">
      <c r="A27" s="3"/>
    </row>
    <row r="28" ht="14.25">
      <c r="A28" s="3"/>
    </row>
    <row r="29" spans="1:11" ht="14.25">
      <c r="A29" s="3"/>
      <c r="G29" t="s">
        <v>20</v>
      </c>
      <c r="K29" t="s">
        <v>135</v>
      </c>
    </row>
    <row r="30" spans="3:14" ht="14.25">
      <c r="C30" t="s">
        <v>23</v>
      </c>
      <c r="G30" s="24" t="s">
        <v>33</v>
      </c>
      <c r="H30" s="24" t="s">
        <v>36</v>
      </c>
      <c r="K30" t="s">
        <v>138</v>
      </c>
      <c r="L30" s="3"/>
      <c r="M30" s="3"/>
      <c r="N30" s="3"/>
    </row>
    <row r="31" spans="3:14" ht="14.25">
      <c r="C31" s="24" t="s">
        <v>147</v>
      </c>
      <c r="D31" s="24" t="s">
        <v>28</v>
      </c>
      <c r="E31" s="24" t="s">
        <v>29</v>
      </c>
      <c r="G31" s="24" t="s">
        <v>34</v>
      </c>
      <c r="H31" s="24" t="s">
        <v>37</v>
      </c>
      <c r="I31" s="24" t="s">
        <v>35</v>
      </c>
      <c r="K31" s="109" t="s">
        <v>136</v>
      </c>
      <c r="L31" s="3"/>
      <c r="M31" s="3"/>
      <c r="N31" s="3"/>
    </row>
    <row r="32" spans="1:14" ht="14.25">
      <c r="A32" t="s">
        <v>146</v>
      </c>
      <c r="C32" s="113">
        <v>7560</v>
      </c>
      <c r="D32" s="110">
        <v>32</v>
      </c>
      <c r="E32" s="110">
        <v>107</v>
      </c>
      <c r="G32" s="90">
        <f>C32/H32</f>
        <v>36</v>
      </c>
      <c r="H32" s="6">
        <v>210</v>
      </c>
      <c r="I32" s="24" t="s">
        <v>145</v>
      </c>
      <c r="K32" s="111">
        <f>1/((40-D32)/4940+(87-40)/2910+(E32-87)/2000)</f>
        <v>36.009258192347964</v>
      </c>
      <c r="L32" s="112">
        <f>H32*K32</f>
        <v>7561.944220393072</v>
      </c>
      <c r="M32" s="3"/>
      <c r="N32" s="3"/>
    </row>
    <row r="33" spans="1:11" ht="14.25">
      <c r="A33" s="25" t="s">
        <v>127</v>
      </c>
      <c r="C33" s="32"/>
      <c r="D33" s="32"/>
      <c r="E33" s="32"/>
      <c r="F33" t="s">
        <v>99</v>
      </c>
      <c r="G33" s="81" t="s">
        <v>122</v>
      </c>
      <c r="H33" s="79"/>
      <c r="I33" s="80"/>
      <c r="J33" s="83"/>
      <c r="K33" s="82"/>
    </row>
    <row r="34" spans="1:9" ht="14.25">
      <c r="A34" t="s">
        <v>185</v>
      </c>
      <c r="C34" s="29"/>
      <c r="D34" s="5">
        <v>32</v>
      </c>
      <c r="E34" s="5">
        <v>107</v>
      </c>
      <c r="F34" s="27">
        <f>(40-D34)/5167+(87-40)/3088+(E34-87)/2254</f>
        <v>0.025641608924339535</v>
      </c>
      <c r="G34" s="90">
        <f>1/F34</f>
        <v>38.99911284626059</v>
      </c>
      <c r="H34" s="1">
        <f>C34*F34</f>
        <v>0</v>
      </c>
      <c r="I34" s="24" t="s">
        <v>128</v>
      </c>
    </row>
    <row r="35" spans="1:9" ht="14.25">
      <c r="A35" s="30" t="s">
        <v>184</v>
      </c>
      <c r="B35" s="30"/>
      <c r="C35" s="26">
        <f>H32/F34</f>
        <v>8189.813697714722</v>
      </c>
      <c r="D35" s="31">
        <f>D34</f>
        <v>32</v>
      </c>
      <c r="E35" s="31">
        <f>E34</f>
        <v>107</v>
      </c>
      <c r="F35" s="28">
        <f>F34</f>
        <v>0.025641608924339535</v>
      </c>
      <c r="G35" s="90">
        <f>G34</f>
        <v>38.99911284626059</v>
      </c>
      <c r="H35" s="73">
        <f>C35*F35</f>
        <v>210</v>
      </c>
      <c r="I35" s="24" t="s">
        <v>128</v>
      </c>
    </row>
    <row r="36" spans="1:9" ht="14.25">
      <c r="A36" s="3"/>
      <c r="B36" s="3"/>
      <c r="C36" s="114"/>
      <c r="D36" s="32"/>
      <c r="E36" s="32"/>
      <c r="F36" s="116"/>
      <c r="G36" s="117"/>
      <c r="H36" s="115"/>
      <c r="I36" s="24"/>
    </row>
    <row r="37" spans="1:11" ht="14.25">
      <c r="A37" s="135" t="s">
        <v>171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ht="14.25">
      <c r="A38" s="135" t="s">
        <v>172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11" ht="14.25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2" ht="14.25">
      <c r="A40" s="195" t="s">
        <v>190</v>
      </c>
      <c r="B40" s="2"/>
      <c r="C40" s="172"/>
      <c r="D40" s="172"/>
      <c r="E40" s="172"/>
      <c r="F40" s="172"/>
      <c r="G40" s="172"/>
      <c r="H40" s="172"/>
      <c r="I40" s="172"/>
      <c r="J40" s="172"/>
      <c r="K40" s="172"/>
      <c r="L40" s="172"/>
    </row>
    <row r="41" spans="1:12" ht="14.25">
      <c r="A41" s="7"/>
      <c r="B41" s="3"/>
      <c r="C41" s="172"/>
      <c r="D41" s="172"/>
      <c r="E41" s="172"/>
      <c r="F41" s="172"/>
      <c r="G41" s="172"/>
      <c r="H41" s="172"/>
      <c r="I41" s="172"/>
      <c r="J41" s="172"/>
      <c r="K41" s="172"/>
      <c r="L41" s="172"/>
    </row>
    <row r="42" spans="1:9" ht="14.25">
      <c r="A42" s="3"/>
      <c r="B42" s="3"/>
      <c r="C42" s="114"/>
      <c r="D42" s="32"/>
      <c r="E42" s="32"/>
      <c r="F42" s="116"/>
      <c r="G42" s="117"/>
      <c r="H42" s="115"/>
      <c r="I42" s="32"/>
    </row>
    <row r="43" spans="1:9" ht="18">
      <c r="A43" s="106" t="s">
        <v>142</v>
      </c>
      <c r="B43" s="3"/>
      <c r="C43" s="114"/>
      <c r="D43" s="32"/>
      <c r="E43" s="32"/>
      <c r="F43" s="116"/>
      <c r="G43" s="117"/>
      <c r="H43" s="115"/>
      <c r="I43" s="32"/>
    </row>
    <row r="44" spans="1:9" ht="14.25">
      <c r="A44" s="7" t="s">
        <v>151</v>
      </c>
      <c r="B44" s="3"/>
      <c r="C44" s="114"/>
      <c r="D44" s="32"/>
      <c r="E44" s="32"/>
      <c r="F44" s="116"/>
      <c r="G44" s="117"/>
      <c r="H44" s="115"/>
      <c r="I44" s="32"/>
    </row>
    <row r="45" spans="1:11" ht="18">
      <c r="A45" s="106"/>
      <c r="B45" s="3"/>
      <c r="C45" s="114"/>
      <c r="D45" s="32"/>
      <c r="E45" s="32"/>
      <c r="F45" s="116"/>
      <c r="G45" t="s">
        <v>152</v>
      </c>
      <c r="K45" t="s">
        <v>135</v>
      </c>
    </row>
    <row r="46" spans="1:12" ht="14.25">
      <c r="A46" s="3"/>
      <c r="B46" s="3"/>
      <c r="C46" s="114"/>
      <c r="D46" s="32"/>
      <c r="E46" s="32"/>
      <c r="F46" s="116"/>
      <c r="G46" s="24" t="s">
        <v>33</v>
      </c>
      <c r="H46" s="24" t="s">
        <v>36</v>
      </c>
      <c r="K46" t="s">
        <v>138</v>
      </c>
      <c r="L46" s="3"/>
    </row>
    <row r="47" spans="1:12" ht="14.25">
      <c r="A47" t="s">
        <v>140</v>
      </c>
      <c r="C47" s="24" t="s">
        <v>23</v>
      </c>
      <c r="D47" s="24" t="s">
        <v>28</v>
      </c>
      <c r="E47" s="24" t="s">
        <v>29</v>
      </c>
      <c r="G47" s="24" t="s">
        <v>34</v>
      </c>
      <c r="H47" s="24" t="s">
        <v>37</v>
      </c>
      <c r="I47" s="24" t="s">
        <v>35</v>
      </c>
      <c r="K47" s="109" t="s">
        <v>139</v>
      </c>
      <c r="L47" s="3"/>
    </row>
    <row r="48" spans="1:14" ht="14.25">
      <c r="A48" t="s">
        <v>146</v>
      </c>
      <c r="C48" s="110">
        <v>6250</v>
      </c>
      <c r="D48" s="110">
        <v>7.2</v>
      </c>
      <c r="E48" s="110">
        <v>107</v>
      </c>
      <c r="G48" s="90">
        <f>C48/H48</f>
        <v>30.48780487804878</v>
      </c>
      <c r="H48" s="6">
        <v>205</v>
      </c>
      <c r="I48" s="24" t="s">
        <v>145</v>
      </c>
      <c r="K48" s="111">
        <f>1/((40-D48)/4940+(87-40)/2910+(E48-87)/2000)</f>
        <v>30.496285390617373</v>
      </c>
      <c r="L48" s="112">
        <f>H48*K48</f>
        <v>6251.7385050765615</v>
      </c>
      <c r="N48" s="27"/>
    </row>
    <row r="49" spans="1:9" ht="14.25">
      <c r="A49" t="s">
        <v>185</v>
      </c>
      <c r="C49" s="24"/>
      <c r="D49" s="5">
        <v>7.2</v>
      </c>
      <c r="E49" s="5">
        <v>113</v>
      </c>
      <c r="G49" s="117"/>
      <c r="H49" s="115"/>
      <c r="I49" s="32"/>
    </row>
    <row r="50" spans="3:9" ht="14.25">
      <c r="C50" s="24" t="s">
        <v>32</v>
      </c>
      <c r="D50" s="24" t="s">
        <v>32</v>
      </c>
      <c r="G50" s="117"/>
      <c r="H50" s="115"/>
      <c r="I50" s="32"/>
    </row>
    <row r="51" spans="3:9" ht="14.25">
      <c r="C51" s="24" t="s">
        <v>145</v>
      </c>
      <c r="D51" s="24">
        <v>2017</v>
      </c>
      <c r="G51" s="117"/>
      <c r="H51" s="115"/>
      <c r="I51" s="32"/>
    </row>
    <row r="52" spans="1:9" ht="14.25">
      <c r="A52" t="s">
        <v>104</v>
      </c>
      <c r="C52" s="1">
        <f>(25-D48)*C48/4940</f>
        <v>22.520242914979757</v>
      </c>
      <c r="D52" s="1">
        <f>(25-D48)*C48/5167</f>
        <v>21.530868976195084</v>
      </c>
      <c r="E52" t="s">
        <v>97</v>
      </c>
      <c r="G52" s="117"/>
      <c r="H52" s="115"/>
      <c r="I52" s="32"/>
    </row>
    <row r="53" spans="1:9" ht="14.25">
      <c r="A53" t="s">
        <v>105</v>
      </c>
      <c r="C53" s="111">
        <f>H48-C52</f>
        <v>182.47975708502025</v>
      </c>
      <c r="D53" s="1">
        <f>C53</f>
        <v>182.47975708502025</v>
      </c>
      <c r="E53" t="s">
        <v>121</v>
      </c>
      <c r="G53" s="117"/>
      <c r="H53" s="115"/>
      <c r="I53" s="32"/>
    </row>
    <row r="54" spans="1:10" ht="14.25">
      <c r="A54" t="s">
        <v>31</v>
      </c>
      <c r="C54" s="1">
        <f>C52+C53</f>
        <v>205</v>
      </c>
      <c r="D54" s="73">
        <f>D52+D53</f>
        <v>204.01062606121533</v>
      </c>
      <c r="F54" t="s">
        <v>141</v>
      </c>
      <c r="G54" s="117"/>
      <c r="H54" s="115"/>
      <c r="I54" s="32"/>
      <c r="J54" s="27">
        <f>(40-D49)/5167+(87-40)/3088+(E49-87)/2254</f>
        <v>0.03310323360585105</v>
      </c>
    </row>
    <row r="55" spans="1:9" ht="14.25">
      <c r="A55" s="30" t="s">
        <v>183</v>
      </c>
      <c r="B55" s="30"/>
      <c r="C55" s="30"/>
      <c r="D55" s="30"/>
      <c r="E55" s="74">
        <f>D54/J54</f>
        <v>6162.860960663254</v>
      </c>
      <c r="G55" s="117"/>
      <c r="H55" s="115"/>
      <c r="I55" s="24"/>
    </row>
    <row r="56" spans="1:9" ht="14.25">
      <c r="A56" s="3"/>
      <c r="B56" s="3"/>
      <c r="C56" s="3"/>
      <c r="D56" s="3"/>
      <c r="E56" s="119"/>
      <c r="G56" s="117"/>
      <c r="H56" s="115"/>
      <c r="I56" s="24"/>
    </row>
    <row r="57" spans="1:11" ht="14.25">
      <c r="A57" s="135" t="s">
        <v>171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4.25">
      <c r="A58" s="135" t="s">
        <v>172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9" ht="14.25">
      <c r="A59" s="3"/>
      <c r="B59" s="3"/>
      <c r="C59" s="3"/>
      <c r="D59" s="3"/>
      <c r="E59" s="119"/>
      <c r="F59" s="3"/>
      <c r="G59" s="117"/>
      <c r="H59" s="115"/>
      <c r="I59" s="24"/>
    </row>
    <row r="60" spans="1:15" ht="17.25">
      <c r="A60" s="13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4.25">
      <c r="A61" s="13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">
      <c r="A62" s="12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">
      <c r="A63" s="12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">
      <c r="A64" s="12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">
      <c r="A65" s="12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">
      <c r="A66" s="12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4.25">
      <c r="A67" s="12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4.25">
      <c r="A68" s="93"/>
      <c r="B68" s="12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4.25">
      <c r="A69" s="93"/>
      <c r="B69" s="12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4.25">
      <c r="A70" s="93"/>
      <c r="B70" s="3"/>
      <c r="C70" s="3"/>
      <c r="D70" s="12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4.25">
      <c r="A71" s="3"/>
      <c r="B71" s="3"/>
      <c r="C71" s="3"/>
      <c r="D71" s="13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4.25">
      <c r="A72" s="3"/>
      <c r="B72" s="3"/>
      <c r="C72" s="3"/>
      <c r="D72" s="10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4.25">
      <c r="A73" s="3"/>
      <c r="B73" s="3"/>
      <c r="C73" s="3"/>
      <c r="D73" s="10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4.25">
      <c r="A74" s="3"/>
      <c r="B74" s="3"/>
      <c r="C74" s="3"/>
      <c r="D74" s="10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="3" customFormat="1" ht="14.25">
      <c r="D75" s="105"/>
    </row>
    <row r="76" spans="1:15" ht="14.25">
      <c r="A76" s="3"/>
      <c r="B76" s="3"/>
      <c r="C76" s="3"/>
      <c r="D76" s="10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4.25">
      <c r="A77" s="3"/>
      <c r="B77" s="3"/>
      <c r="C77" s="3"/>
      <c r="D77" s="10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4.25">
      <c r="A78" s="3"/>
      <c r="B78" s="3"/>
      <c r="C78" s="3"/>
      <c r="D78" s="105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4.25">
      <c r="A79" s="3"/>
      <c r="B79" s="3"/>
      <c r="C79" s="3"/>
      <c r="D79" s="105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4.25">
      <c r="A80" s="3"/>
      <c r="B80" s="3"/>
      <c r="C80" s="3"/>
      <c r="D80" s="105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8">
      <c r="A81" s="106"/>
      <c r="B81" s="106"/>
      <c r="C81" s="106"/>
      <c r="D81" s="106"/>
      <c r="E81" s="106"/>
      <c r="F81" s="127"/>
      <c r="G81" s="127"/>
      <c r="H81" s="127"/>
      <c r="I81" s="127"/>
      <c r="J81" s="3"/>
      <c r="K81" s="3"/>
      <c r="L81" s="3"/>
      <c r="M81" s="3"/>
      <c r="N81" s="3"/>
      <c r="O81" s="3"/>
    </row>
    <row r="82" spans="1:15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4.25">
      <c r="A83" s="3"/>
      <c r="B83" s="3"/>
      <c r="C83" s="3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4.25">
      <c r="A84" s="3"/>
      <c r="B84" s="3"/>
      <c r="C84" s="131"/>
      <c r="D84" s="94"/>
      <c r="E84" s="3"/>
      <c r="F84" s="128"/>
      <c r="G84" s="94"/>
      <c r="H84" s="3"/>
      <c r="I84" s="3"/>
      <c r="J84" s="3"/>
      <c r="K84" s="3"/>
      <c r="L84" s="3"/>
      <c r="M84" s="3"/>
      <c r="N84" s="3"/>
      <c r="O84" s="3"/>
    </row>
    <row r="85" spans="1:15" ht="14.25">
      <c r="A85" s="3"/>
      <c r="B85" s="3"/>
      <c r="C85" s="131"/>
      <c r="D85" s="94"/>
      <c r="E85" s="3"/>
      <c r="F85" s="128"/>
      <c r="G85" s="94"/>
      <c r="H85" s="3"/>
      <c r="I85" s="3"/>
      <c r="J85" s="3"/>
      <c r="K85" s="3"/>
      <c r="L85" s="3"/>
      <c r="M85" s="3"/>
      <c r="N85" s="3"/>
      <c r="O85" s="3"/>
    </row>
    <row r="86" spans="1:15" ht="14.25">
      <c r="A86" s="3"/>
      <c r="B86" s="3"/>
      <c r="C86" s="131"/>
      <c r="D86" s="94"/>
      <c r="E86" s="3"/>
      <c r="F86" s="128"/>
      <c r="G86" s="94"/>
      <c r="H86" s="3"/>
      <c r="I86" s="3"/>
      <c r="J86" s="3"/>
      <c r="K86" s="3"/>
      <c r="L86" s="3"/>
      <c r="M86" s="3"/>
      <c r="N86" s="3"/>
      <c r="O86" s="3"/>
    </row>
    <row r="87" spans="1:15" ht="14.25">
      <c r="A87" s="3"/>
      <c r="B87" s="3"/>
      <c r="C87" s="131"/>
      <c r="D87" s="94"/>
      <c r="E87" s="3"/>
      <c r="F87" s="128"/>
      <c r="G87" s="94"/>
      <c r="H87" s="3"/>
      <c r="I87" s="3"/>
      <c r="J87" s="3"/>
      <c r="K87" s="3"/>
      <c r="L87" s="3"/>
      <c r="M87" s="3"/>
      <c r="N87" s="3"/>
      <c r="O87" s="3"/>
    </row>
    <row r="88" spans="1:15" ht="14.25">
      <c r="A88" s="3"/>
      <c r="B88" s="3"/>
      <c r="C88" s="132"/>
      <c r="D88" s="9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25" ht="14.25">
      <c r="A89" s="3"/>
      <c r="B89" s="9"/>
      <c r="C89" s="9"/>
      <c r="D89" s="9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95"/>
      <c r="R89" s="3"/>
      <c r="S89" s="3"/>
      <c r="T89" s="3"/>
      <c r="U89" s="3"/>
      <c r="V89" s="3"/>
      <c r="W89" s="3"/>
      <c r="X89" s="3"/>
      <c r="Y89" s="3"/>
    </row>
    <row r="90" spans="1:25" ht="14.25">
      <c r="A90" s="7"/>
      <c r="B90" s="3"/>
      <c r="C90" s="117"/>
      <c r="D90" s="9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94"/>
      <c r="R90" s="3"/>
      <c r="S90" s="3"/>
      <c r="T90" s="3"/>
      <c r="U90" s="3"/>
      <c r="V90" s="3"/>
      <c r="W90" s="3"/>
      <c r="X90" s="3"/>
      <c r="Y90" s="3"/>
    </row>
    <row r="91" spans="1:25" ht="14.25">
      <c r="A91" s="3"/>
      <c r="B91" s="3"/>
      <c r="C91" s="117"/>
      <c r="D91" s="9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94"/>
      <c r="R91" s="3"/>
      <c r="S91" s="3"/>
      <c r="T91" s="3"/>
      <c r="U91" s="3"/>
      <c r="V91" s="3"/>
      <c r="W91" s="3"/>
      <c r="X91" s="3"/>
      <c r="Y91" s="3"/>
    </row>
    <row r="92" spans="1:25" ht="14.25">
      <c r="A92" s="3"/>
      <c r="B92" s="3"/>
      <c r="C92" s="117"/>
      <c r="D92" s="94"/>
      <c r="E92" s="3"/>
      <c r="F92" s="3"/>
      <c r="G92" s="94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>
      <c r="A93" s="3"/>
      <c r="B93" s="3"/>
      <c r="C93" s="3"/>
      <c r="D93" s="108"/>
      <c r="E93" s="108"/>
      <c r="F93" s="108"/>
      <c r="G93" s="108"/>
      <c r="H93" s="108"/>
      <c r="I93" s="3"/>
      <c r="J93" s="3"/>
      <c r="K93" s="3"/>
      <c r="L93" s="3"/>
      <c r="M93" s="97"/>
      <c r="N93" s="3"/>
      <c r="O93" s="97"/>
      <c r="Q93" s="95"/>
      <c r="R93" s="3"/>
      <c r="S93" s="3"/>
      <c r="T93" s="3"/>
      <c r="U93" s="3"/>
      <c r="V93" s="3"/>
      <c r="W93" s="3"/>
      <c r="X93" s="3"/>
      <c r="Y93" s="3"/>
    </row>
    <row r="94" spans="1:25" ht="14.25">
      <c r="A94" s="9"/>
      <c r="B94" s="3"/>
      <c r="C94" s="3"/>
      <c r="D94" s="97"/>
      <c r="E94" s="97"/>
      <c r="F94" s="97"/>
      <c r="G94" s="97"/>
      <c r="H94" s="97"/>
      <c r="I94" s="3"/>
      <c r="J94" s="3"/>
      <c r="K94" s="3"/>
      <c r="L94" s="3"/>
      <c r="M94" s="97"/>
      <c r="N94" s="3"/>
      <c r="O94" s="97"/>
      <c r="Q94" s="95"/>
      <c r="R94" s="3"/>
      <c r="S94" s="3"/>
      <c r="T94" s="3"/>
      <c r="U94" s="3"/>
      <c r="V94" s="3"/>
      <c r="W94" s="3"/>
      <c r="X94" s="3"/>
      <c r="Y94" s="3"/>
    </row>
    <row r="95" spans="1:25" ht="14.25">
      <c r="A95" s="133"/>
      <c r="B95" s="3"/>
      <c r="C95" s="3"/>
      <c r="D95" s="97"/>
      <c r="E95" s="97"/>
      <c r="F95" s="97"/>
      <c r="G95" s="97"/>
      <c r="H95" s="97"/>
      <c r="I95" s="3"/>
      <c r="J95" s="3"/>
      <c r="K95" s="3"/>
      <c r="L95" s="3"/>
      <c r="M95" s="97"/>
      <c r="N95" s="3"/>
      <c r="O95" s="97"/>
      <c r="P95" s="3"/>
      <c r="Q95" s="95"/>
      <c r="R95" s="3"/>
      <c r="S95" s="3"/>
      <c r="T95" s="3"/>
      <c r="U95" s="3"/>
      <c r="V95" s="3"/>
      <c r="W95" s="3"/>
      <c r="X95" s="3"/>
      <c r="Y95" s="3"/>
    </row>
    <row r="96" spans="1:16" ht="14.25">
      <c r="A96" s="3"/>
      <c r="B96" s="3"/>
      <c r="C96" s="3"/>
      <c r="D96" s="134"/>
      <c r="E96" s="94"/>
      <c r="F96" s="3"/>
      <c r="G96" s="3"/>
      <c r="H96" s="3"/>
      <c r="I96" s="133"/>
      <c r="J96" s="3"/>
      <c r="K96" s="3"/>
      <c r="L96" s="3"/>
      <c r="M96" s="3"/>
      <c r="N96" s="3"/>
      <c r="O96" s="3"/>
      <c r="P96" s="3"/>
    </row>
    <row r="97" spans="1:16" ht="14.25">
      <c r="A97" s="3"/>
      <c r="B97" s="3"/>
      <c r="C97" s="97"/>
      <c r="D97" s="107"/>
      <c r="E97" s="107"/>
      <c r="F97" s="107"/>
      <c r="G97" s="107"/>
      <c r="H97" s="107"/>
      <c r="I97" s="94"/>
      <c r="J97" s="3"/>
      <c r="K97" s="3"/>
      <c r="L97" s="3"/>
      <c r="M97" s="3"/>
      <c r="N97" s="3"/>
      <c r="O97" s="3"/>
      <c r="P97" s="3"/>
    </row>
    <row r="98" spans="1:16" ht="14.25">
      <c r="A98" s="3"/>
      <c r="B98" s="3"/>
      <c r="C98" s="97"/>
      <c r="D98" s="9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5" ht="18">
      <c r="A99" s="106"/>
      <c r="B99" s="7"/>
      <c r="C99" s="7"/>
      <c r="D99" s="95"/>
      <c r="E99" s="7"/>
      <c r="F99" s="7"/>
      <c r="G99" s="7"/>
      <c r="H99" s="7"/>
      <c r="I99" s="7"/>
      <c r="J99" s="3"/>
      <c r="K99" s="3"/>
      <c r="L99" s="3"/>
      <c r="M99" s="3"/>
      <c r="N99" s="3"/>
      <c r="O99" s="3"/>
    </row>
    <row r="100" spans="1:13" ht="14.25">
      <c r="A100" s="7"/>
      <c r="B100" s="7"/>
      <c r="C100" s="7"/>
      <c r="D100" s="95"/>
      <c r="E100" s="7"/>
      <c r="F100" s="7"/>
      <c r="G100" s="7"/>
      <c r="H100" s="7"/>
      <c r="I100" s="7"/>
      <c r="J100" s="3"/>
      <c r="K100" s="3"/>
      <c r="L100" s="3"/>
      <c r="M100" s="3"/>
    </row>
    <row r="101" spans="1:13" ht="14.25">
      <c r="A101" s="7"/>
      <c r="B101" s="7"/>
      <c r="C101" s="7"/>
      <c r="D101" s="95"/>
      <c r="E101" s="7"/>
      <c r="F101" s="7"/>
      <c r="G101" s="7"/>
      <c r="H101" s="7"/>
      <c r="I101" s="7"/>
      <c r="J101" s="3"/>
      <c r="K101" s="3"/>
      <c r="L101" s="3"/>
      <c r="M101" s="3"/>
    </row>
    <row r="102" spans="1:13" ht="14.25">
      <c r="A102" s="7"/>
      <c r="B102" s="7"/>
      <c r="C102" s="7"/>
      <c r="D102" s="95"/>
      <c r="E102" s="7"/>
      <c r="F102" s="7"/>
      <c r="G102" s="7"/>
      <c r="H102" s="7"/>
      <c r="I102" s="7"/>
      <c r="J102" s="3"/>
      <c r="K102" s="3"/>
      <c r="L102" s="3"/>
      <c r="M102" s="3"/>
    </row>
    <row r="103" spans="1:13" ht="14.25">
      <c r="A103" s="7"/>
      <c r="B103" s="7"/>
      <c r="C103" s="7"/>
      <c r="D103" s="95"/>
      <c r="E103" s="7"/>
      <c r="F103" s="7"/>
      <c r="G103" s="7"/>
      <c r="H103" s="7"/>
      <c r="I103" s="7"/>
      <c r="J103" s="3"/>
      <c r="K103" s="3"/>
      <c r="L103" s="3"/>
      <c r="M103" s="3"/>
    </row>
    <row r="104" spans="1:13" ht="14.25">
      <c r="A104" s="104"/>
      <c r="B104" s="3"/>
      <c r="C104" s="3"/>
      <c r="D104" s="94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4.25">
      <c r="A105" s="3"/>
      <c r="B105" s="3"/>
      <c r="C105" s="3"/>
      <c r="D105" s="94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40" spans="2:3" ht="14.25">
      <c r="B140" s="69"/>
      <c r="C140" s="24"/>
    </row>
    <row r="141" spans="2:3" ht="14.25">
      <c r="B141" s="24"/>
      <c r="C141" s="24"/>
    </row>
    <row r="142" spans="2:6" ht="14.25">
      <c r="B142" s="24"/>
      <c r="C142" s="24"/>
      <c r="F142" s="25"/>
    </row>
    <row r="143" spans="2:3" ht="14.25">
      <c r="B143" s="24"/>
      <c r="C143" s="24"/>
    </row>
    <row r="144" spans="2:3" ht="14.25">
      <c r="B144" s="24"/>
      <c r="C144" s="24"/>
    </row>
    <row r="145" ht="14.25">
      <c r="B145" s="25"/>
    </row>
    <row r="146" spans="2:3" ht="14.25">
      <c r="B146" s="25"/>
      <c r="C146" s="25"/>
    </row>
    <row r="147" spans="2:3" ht="14.25">
      <c r="B147" s="24"/>
      <c r="C147" s="24"/>
    </row>
    <row r="148" ht="14.25">
      <c r="C148" s="1"/>
    </row>
    <row r="149" ht="14.25">
      <c r="C149" s="1"/>
    </row>
  </sheetData>
  <sheetProtection password="DE48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31">
      <selection activeCell="F50" sqref="F50"/>
    </sheetView>
  </sheetViews>
  <sheetFormatPr defaultColWidth="9.140625" defaultRowHeight="15"/>
  <cols>
    <col min="1" max="1" width="13.00390625" style="0" customWidth="1"/>
    <col min="2" max="2" width="9.57421875" style="0" customWidth="1"/>
  </cols>
  <sheetData>
    <row r="1" ht="21">
      <c r="A1" s="21" t="s">
        <v>173</v>
      </c>
    </row>
    <row r="2" spans="1:8" ht="15">
      <c r="A2" s="103" t="s">
        <v>169</v>
      </c>
      <c r="B2" s="99"/>
      <c r="C2" s="99"/>
      <c r="D2" s="99"/>
      <c r="E2" s="99"/>
      <c r="F2" s="99"/>
      <c r="G2" s="99"/>
      <c r="H2" s="99"/>
    </row>
    <row r="3" spans="1:12" ht="14.25">
      <c r="A3" t="s">
        <v>133</v>
      </c>
      <c r="H3" s="3"/>
      <c r="I3" s="3"/>
      <c r="J3" s="3"/>
      <c r="K3" s="3"/>
      <c r="L3" s="3"/>
    </row>
    <row r="4" spans="1:12" ht="14.25">
      <c r="A4" s="2" t="s">
        <v>82</v>
      </c>
      <c r="B4" s="2"/>
      <c r="C4" s="2"/>
      <c r="D4" s="30" t="s">
        <v>83</v>
      </c>
      <c r="E4" s="30"/>
      <c r="F4" s="30"/>
      <c r="G4" s="3"/>
      <c r="H4" s="3"/>
      <c r="I4" s="3"/>
      <c r="J4" s="3"/>
      <c r="K4" s="3"/>
      <c r="L4" s="3"/>
    </row>
    <row r="5" spans="1:14" ht="15">
      <c r="A5" s="96" t="s">
        <v>129</v>
      </c>
      <c r="B5" s="96"/>
      <c r="C5" s="96"/>
      <c r="G5" s="194" t="s">
        <v>190</v>
      </c>
      <c r="H5" s="151"/>
      <c r="I5" s="2"/>
      <c r="J5" s="172"/>
      <c r="K5" s="172"/>
      <c r="L5" s="172"/>
      <c r="M5" s="172"/>
      <c r="N5" s="172"/>
    </row>
    <row r="6" spans="10:14" ht="14.25">
      <c r="J6" s="172"/>
      <c r="K6" s="172"/>
      <c r="L6" s="172"/>
      <c r="M6" s="172"/>
      <c r="N6" s="172"/>
    </row>
    <row r="7" ht="14.25">
      <c r="A7" t="s">
        <v>170</v>
      </c>
    </row>
    <row r="8" spans="1:13" ht="14.25">
      <c r="A8" s="35" t="s">
        <v>174</v>
      </c>
      <c r="L8" s="3"/>
      <c r="M8" s="3"/>
    </row>
    <row r="10" ht="18">
      <c r="A10" s="98" t="s">
        <v>132</v>
      </c>
    </row>
    <row r="11" spans="1:5" ht="14.25">
      <c r="A11" t="s">
        <v>27</v>
      </c>
      <c r="C11" s="24" t="s">
        <v>23</v>
      </c>
      <c r="D11" s="24" t="s">
        <v>28</v>
      </c>
      <c r="E11" s="24" t="s">
        <v>29</v>
      </c>
    </row>
    <row r="12" spans="1:5" ht="14.25">
      <c r="A12" t="s">
        <v>146</v>
      </c>
      <c r="C12" s="5">
        <v>10000</v>
      </c>
      <c r="D12" s="5">
        <v>7.2</v>
      </c>
      <c r="E12" s="5">
        <v>32</v>
      </c>
    </row>
    <row r="13" spans="1:5" ht="14.25">
      <c r="A13" t="s">
        <v>185</v>
      </c>
      <c r="C13" s="24"/>
      <c r="D13" s="5">
        <v>7.2</v>
      </c>
      <c r="E13" s="5">
        <v>32</v>
      </c>
    </row>
    <row r="14" spans="3:4" ht="14.25">
      <c r="C14" s="24" t="s">
        <v>32</v>
      </c>
      <c r="D14" s="24" t="s">
        <v>32</v>
      </c>
    </row>
    <row r="15" spans="3:4" ht="14.25">
      <c r="C15" s="24" t="s">
        <v>145</v>
      </c>
      <c r="D15" s="24">
        <v>2017</v>
      </c>
    </row>
    <row r="16" spans="1:5" ht="14.25">
      <c r="A16" t="s">
        <v>104</v>
      </c>
      <c r="C16" s="1">
        <f>(25-D12)*C12/4940</f>
        <v>36.03238866396761</v>
      </c>
      <c r="D16" s="1">
        <f>(25-D12)*C12/5167</f>
        <v>34.44939036191214</v>
      </c>
      <c r="E16" t="s">
        <v>97</v>
      </c>
    </row>
    <row r="17" spans="1:5" ht="14.25">
      <c r="A17" t="s">
        <v>105</v>
      </c>
      <c r="C17" s="1">
        <f>(E12-25)/4940*C12</f>
        <v>14.170040485829961</v>
      </c>
      <c r="D17" s="1">
        <f>C17</f>
        <v>14.170040485829961</v>
      </c>
      <c r="E17" t="s">
        <v>121</v>
      </c>
    </row>
    <row r="18" spans="1:4" ht="14.25">
      <c r="A18" t="s">
        <v>31</v>
      </c>
      <c r="C18" s="1">
        <f>C16+C17</f>
        <v>50.20242914979757</v>
      </c>
      <c r="D18" s="73">
        <f>D16+D17</f>
        <v>48.619430847742095</v>
      </c>
    </row>
    <row r="19" spans="1:5" ht="14.25">
      <c r="A19" s="30" t="s">
        <v>183</v>
      </c>
      <c r="B19" s="30"/>
      <c r="C19" s="30"/>
      <c r="D19" s="30"/>
      <c r="E19" s="74">
        <f>(D18*5167)/(E13-D13)</f>
        <v>10129.701580253362</v>
      </c>
    </row>
    <row r="21" ht="18">
      <c r="A21" s="98" t="s">
        <v>143</v>
      </c>
    </row>
    <row r="22" ht="14.25">
      <c r="A22" s="3" t="s">
        <v>18</v>
      </c>
    </row>
    <row r="23" ht="14.25">
      <c r="A23" s="3"/>
    </row>
    <row r="24" ht="14.25">
      <c r="A24" s="3" t="s">
        <v>149</v>
      </c>
    </row>
    <row r="25" ht="14.25">
      <c r="A25" s="3" t="s">
        <v>150</v>
      </c>
    </row>
    <row r="26" ht="14.25">
      <c r="A26" s="3" t="s">
        <v>148</v>
      </c>
    </row>
    <row r="27" ht="14.25">
      <c r="A27" s="3"/>
    </row>
    <row r="28" ht="14.25">
      <c r="A28" s="3"/>
    </row>
    <row r="29" spans="1:11" ht="14.25">
      <c r="A29" s="3"/>
      <c r="G29" t="s">
        <v>20</v>
      </c>
      <c r="K29" t="s">
        <v>135</v>
      </c>
    </row>
    <row r="30" spans="3:13" ht="14.25">
      <c r="C30" s="24" t="s">
        <v>23</v>
      </c>
      <c r="G30" s="24" t="s">
        <v>33</v>
      </c>
      <c r="H30" s="24" t="s">
        <v>36</v>
      </c>
      <c r="K30" t="s">
        <v>138</v>
      </c>
      <c r="L30" s="3"/>
      <c r="M30" s="3"/>
    </row>
    <row r="31" spans="3:13" ht="14.25">
      <c r="C31" s="24" t="s">
        <v>147</v>
      </c>
      <c r="D31" s="24" t="s">
        <v>28</v>
      </c>
      <c r="E31" s="24" t="s">
        <v>29</v>
      </c>
      <c r="G31" s="24" t="s">
        <v>34</v>
      </c>
      <c r="H31" s="24" t="s">
        <v>37</v>
      </c>
      <c r="I31" s="24" t="s">
        <v>35</v>
      </c>
      <c r="K31" s="109" t="s">
        <v>136</v>
      </c>
      <c r="L31" s="3"/>
      <c r="M31" s="3"/>
    </row>
    <row r="32" spans="1:13" ht="14.25">
      <c r="A32" t="s">
        <v>146</v>
      </c>
      <c r="C32" s="113">
        <v>7560</v>
      </c>
      <c r="D32" s="110">
        <v>32</v>
      </c>
      <c r="E32" s="110">
        <v>107</v>
      </c>
      <c r="G32" s="90">
        <f>C32/H32</f>
        <v>36</v>
      </c>
      <c r="H32" s="6">
        <v>210</v>
      </c>
      <c r="I32" s="24" t="s">
        <v>145</v>
      </c>
      <c r="K32" s="111">
        <f>1/((40-D32)/4940+(87-40)/2910+(E32-87)/2000)</f>
        <v>36.009258192347964</v>
      </c>
      <c r="L32" s="112">
        <f>H32*K32</f>
        <v>7561.944220393072</v>
      </c>
      <c r="M32" s="3"/>
    </row>
    <row r="33" spans="1:11" ht="14.25">
      <c r="A33" s="25" t="s">
        <v>127</v>
      </c>
      <c r="C33" s="32"/>
      <c r="D33" s="32"/>
      <c r="E33" s="32"/>
      <c r="F33" t="s">
        <v>99</v>
      </c>
      <c r="G33" s="81" t="s">
        <v>122</v>
      </c>
      <c r="H33" s="79"/>
      <c r="I33" s="80"/>
      <c r="J33" s="83"/>
      <c r="K33" s="82"/>
    </row>
    <row r="34" spans="1:9" ht="14.25">
      <c r="A34" t="s">
        <v>185</v>
      </c>
      <c r="C34" s="29"/>
      <c r="D34" s="5">
        <v>32</v>
      </c>
      <c r="E34" s="5">
        <v>107</v>
      </c>
      <c r="F34" s="27">
        <f>(40-D34)/5167+(87-40)/3088+(E34-87)/2254</f>
        <v>0.025641608924339535</v>
      </c>
      <c r="G34" s="90">
        <f>1/F34</f>
        <v>38.99911284626059</v>
      </c>
      <c r="H34" s="1">
        <f>C34*F34</f>
        <v>0</v>
      </c>
      <c r="I34" s="24" t="s">
        <v>128</v>
      </c>
    </row>
    <row r="35" spans="1:9" ht="14.25">
      <c r="A35" s="30" t="s">
        <v>184</v>
      </c>
      <c r="B35" s="30"/>
      <c r="C35" s="26">
        <f>H32/F34</f>
        <v>8189.813697714722</v>
      </c>
      <c r="D35" s="31">
        <f>D34</f>
        <v>32</v>
      </c>
      <c r="E35" s="31">
        <f>E34</f>
        <v>107</v>
      </c>
      <c r="F35" s="28">
        <f>F34</f>
        <v>0.025641608924339535</v>
      </c>
      <c r="G35" s="90">
        <f>G34</f>
        <v>38.99911284626059</v>
      </c>
      <c r="H35" s="73">
        <f>C35*F35</f>
        <v>210</v>
      </c>
      <c r="I35" s="24" t="s">
        <v>128</v>
      </c>
    </row>
    <row r="36" spans="1:9" ht="14.25">
      <c r="A36" s="3"/>
      <c r="B36" s="3"/>
      <c r="C36" s="114"/>
      <c r="D36" s="32"/>
      <c r="E36" s="32"/>
      <c r="F36" s="116"/>
      <c r="G36" s="117"/>
      <c r="H36" s="115"/>
      <c r="I36" s="24"/>
    </row>
    <row r="37" spans="1:11" ht="14.25">
      <c r="A37" s="135" t="s">
        <v>171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ht="14.25">
      <c r="A38" s="135" t="s">
        <v>172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11" ht="14.25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2" ht="14.25">
      <c r="A40" s="195" t="s">
        <v>190</v>
      </c>
      <c r="B40" s="2"/>
      <c r="C40" s="172"/>
      <c r="D40" s="172"/>
      <c r="E40" s="172"/>
      <c r="F40" s="172"/>
      <c r="G40" s="172"/>
      <c r="H40" s="172"/>
      <c r="I40" s="172"/>
      <c r="J40" s="172"/>
      <c r="K40" s="172"/>
      <c r="L40" s="172"/>
    </row>
    <row r="41" spans="1:12" ht="14.25">
      <c r="A41" s="7"/>
      <c r="B41" s="3"/>
      <c r="C41" s="172"/>
      <c r="D41" s="172"/>
      <c r="E41" s="172"/>
      <c r="F41" s="172"/>
      <c r="G41" s="172"/>
      <c r="H41" s="172"/>
      <c r="I41" s="172"/>
      <c r="J41" s="172"/>
      <c r="K41" s="172"/>
      <c r="L41" s="172"/>
    </row>
    <row r="42" spans="1:9" ht="14.25">
      <c r="A42" s="3"/>
      <c r="B42" s="3"/>
      <c r="C42" s="114"/>
      <c r="D42" s="32"/>
      <c r="E42" s="32"/>
      <c r="F42" s="116"/>
      <c r="G42" s="117"/>
      <c r="H42" s="115"/>
      <c r="I42" s="32"/>
    </row>
    <row r="43" spans="1:9" ht="18">
      <c r="A43" s="106" t="s">
        <v>142</v>
      </c>
      <c r="B43" s="3"/>
      <c r="C43" s="114"/>
      <c r="D43" s="32"/>
      <c r="E43" s="32"/>
      <c r="F43" s="116"/>
      <c r="G43" s="117"/>
      <c r="H43" s="115"/>
      <c r="I43" s="32"/>
    </row>
    <row r="44" spans="1:9" ht="14.25">
      <c r="A44" s="7" t="s">
        <v>151</v>
      </c>
      <c r="B44" s="3"/>
      <c r="C44" s="114"/>
      <c r="D44" s="32"/>
      <c r="E44" s="32"/>
      <c r="F44" s="116"/>
      <c r="G44" s="117"/>
      <c r="H44" s="115"/>
      <c r="I44" s="32"/>
    </row>
    <row r="45" spans="1:11" ht="18">
      <c r="A45" s="106"/>
      <c r="B45" s="3"/>
      <c r="C45" s="114"/>
      <c r="D45" s="32"/>
      <c r="E45" s="32"/>
      <c r="F45" s="116"/>
      <c r="G45" t="s">
        <v>152</v>
      </c>
      <c r="K45" t="s">
        <v>135</v>
      </c>
    </row>
    <row r="46" spans="1:12" ht="14.25">
      <c r="A46" s="3"/>
      <c r="B46" s="3"/>
      <c r="C46" s="114"/>
      <c r="D46" s="32"/>
      <c r="E46" s="32"/>
      <c r="F46" s="116"/>
      <c r="G46" s="24" t="s">
        <v>33</v>
      </c>
      <c r="H46" s="24" t="s">
        <v>36</v>
      </c>
      <c r="K46" t="s">
        <v>138</v>
      </c>
      <c r="L46" s="3"/>
    </row>
    <row r="47" spans="1:12" ht="14.25">
      <c r="A47" t="s">
        <v>140</v>
      </c>
      <c r="C47" s="24" t="s">
        <v>23</v>
      </c>
      <c r="D47" s="24" t="s">
        <v>28</v>
      </c>
      <c r="E47" s="24" t="s">
        <v>29</v>
      </c>
      <c r="G47" s="24" t="s">
        <v>34</v>
      </c>
      <c r="H47" s="24" t="s">
        <v>37</v>
      </c>
      <c r="I47" s="24" t="s">
        <v>35</v>
      </c>
      <c r="K47" s="109" t="s">
        <v>139</v>
      </c>
      <c r="L47" s="3"/>
    </row>
    <row r="48" spans="1:12" ht="14.25">
      <c r="A48" t="s">
        <v>146</v>
      </c>
      <c r="C48" s="110">
        <v>6250</v>
      </c>
      <c r="D48" s="110">
        <v>7.2</v>
      </c>
      <c r="E48" s="110">
        <v>107</v>
      </c>
      <c r="G48" s="90">
        <f>C48/H48</f>
        <v>30.48780487804878</v>
      </c>
      <c r="H48" s="6">
        <v>205</v>
      </c>
      <c r="I48" s="24" t="s">
        <v>145</v>
      </c>
      <c r="K48" s="111">
        <f>1/((40-D48)/4940+(87-40)/2910+(E48-87)/2000)</f>
        <v>30.496285390617373</v>
      </c>
      <c r="L48" s="112">
        <f>H48*K48</f>
        <v>6251.7385050765615</v>
      </c>
    </row>
    <row r="49" spans="1:9" ht="14.25">
      <c r="A49" t="s">
        <v>185</v>
      </c>
      <c r="C49" s="24"/>
      <c r="D49" s="5">
        <v>7.2</v>
      </c>
      <c r="E49" s="5">
        <v>112</v>
      </c>
      <c r="G49" s="117"/>
      <c r="H49" s="115"/>
      <c r="I49" s="32"/>
    </row>
    <row r="50" spans="3:9" ht="14.25">
      <c r="C50" s="24" t="s">
        <v>32</v>
      </c>
      <c r="D50" s="24" t="s">
        <v>32</v>
      </c>
      <c r="G50" s="117"/>
      <c r="H50" s="115"/>
      <c r="I50" s="32"/>
    </row>
    <row r="51" spans="3:9" ht="14.25">
      <c r="C51" s="24" t="s">
        <v>145</v>
      </c>
      <c r="D51" s="24">
        <v>2017</v>
      </c>
      <c r="G51" s="117"/>
      <c r="H51" s="115"/>
      <c r="I51" s="32"/>
    </row>
    <row r="52" spans="1:9" ht="14.25">
      <c r="A52" t="s">
        <v>104</v>
      </c>
      <c r="C52" s="1">
        <f>(25-D48)*C48/4940</f>
        <v>22.520242914979757</v>
      </c>
      <c r="D52" s="1">
        <f>(25-D48)*C48/5167</f>
        <v>21.530868976195084</v>
      </c>
      <c r="E52" t="s">
        <v>97</v>
      </c>
      <c r="G52" s="117"/>
      <c r="H52" s="115"/>
      <c r="I52" s="32"/>
    </row>
    <row r="53" spans="1:9" ht="14.25">
      <c r="A53" t="s">
        <v>105</v>
      </c>
      <c r="C53" s="111">
        <f>H48-C52</f>
        <v>182.47975708502025</v>
      </c>
      <c r="D53" s="1">
        <f>C53</f>
        <v>182.47975708502025</v>
      </c>
      <c r="E53" t="s">
        <v>121</v>
      </c>
      <c r="G53" s="117"/>
      <c r="H53" s="115"/>
      <c r="I53" s="32"/>
    </row>
    <row r="54" spans="1:10" ht="14.25">
      <c r="A54" t="s">
        <v>31</v>
      </c>
      <c r="C54" s="1">
        <f>C52+C53</f>
        <v>205</v>
      </c>
      <c r="D54" s="73">
        <f>D52+D53</f>
        <v>204.01062606121533</v>
      </c>
      <c r="F54" s="229" t="s">
        <v>141</v>
      </c>
      <c r="G54" s="230"/>
      <c r="H54" s="231"/>
      <c r="I54" s="232"/>
      <c r="J54" s="233">
        <f>(40-D49)/5167+(87-40)/3088+(E49-87)/2254</f>
        <v>0.03265957788269222</v>
      </c>
    </row>
    <row r="55" spans="1:9" ht="14.25">
      <c r="A55" s="30" t="s">
        <v>183</v>
      </c>
      <c r="B55" s="30"/>
      <c r="C55" s="30"/>
      <c r="D55" s="30"/>
      <c r="E55" s="74">
        <f>D54/J54</f>
        <v>6246.578776798268</v>
      </c>
      <c r="G55" s="117"/>
      <c r="H55" s="115"/>
      <c r="I55" s="24"/>
    </row>
    <row r="56" spans="1:9" ht="14.25">
      <c r="A56" s="3"/>
      <c r="B56" s="3"/>
      <c r="C56" s="3"/>
      <c r="D56" s="3"/>
      <c r="E56" s="119"/>
      <c r="G56" s="117"/>
      <c r="H56" s="115"/>
      <c r="I56" s="24"/>
    </row>
    <row r="57" spans="1:11" ht="14.25">
      <c r="A57" s="135" t="s">
        <v>171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4.25">
      <c r="A58" s="135" t="s">
        <v>172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</row>
  </sheetData>
  <sheetProtection password="DE48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22.140625" style="0" customWidth="1"/>
    <col min="2" max="2" width="10.421875" style="0" bestFit="1" customWidth="1"/>
    <col min="3" max="3" width="9.7109375" style="0" customWidth="1"/>
    <col min="4" max="4" width="9.28125" style="0" customWidth="1"/>
    <col min="8" max="8" width="11.7109375" style="0" customWidth="1"/>
    <col min="9" max="9" width="10.8515625" style="0" customWidth="1"/>
  </cols>
  <sheetData>
    <row r="1" spans="1:9" ht="21">
      <c r="A1" s="145" t="s">
        <v>211</v>
      </c>
      <c r="B1" s="146"/>
      <c r="C1" s="146"/>
      <c r="D1" s="146"/>
      <c r="E1" s="146"/>
      <c r="F1" s="146"/>
      <c r="G1" s="146"/>
      <c r="H1" s="146"/>
      <c r="I1" s="146"/>
    </row>
    <row r="2" spans="1:9" ht="15">
      <c r="A2" s="147" t="s">
        <v>196</v>
      </c>
      <c r="B2" s="146"/>
      <c r="C2" s="146"/>
      <c r="D2" s="146"/>
      <c r="E2" s="146"/>
      <c r="F2" s="146"/>
      <c r="G2" s="146"/>
      <c r="H2" s="146"/>
      <c r="I2" s="146"/>
    </row>
    <row r="3" spans="1:9" ht="14.25">
      <c r="A3" s="146" t="s">
        <v>212</v>
      </c>
      <c r="B3" s="146"/>
      <c r="C3" s="146"/>
      <c r="D3" s="146"/>
      <c r="E3" s="146"/>
      <c r="F3" s="146"/>
      <c r="G3" s="146"/>
      <c r="H3" s="146"/>
      <c r="I3" s="146"/>
    </row>
    <row r="4" spans="1:9" ht="14.25">
      <c r="A4" s="148" t="s">
        <v>178</v>
      </c>
      <c r="B4" s="148"/>
      <c r="C4" s="148"/>
      <c r="D4" s="149"/>
      <c r="E4" s="149"/>
      <c r="F4" s="146"/>
      <c r="G4" s="146"/>
      <c r="H4" s="146"/>
      <c r="I4" s="146"/>
    </row>
    <row r="5" spans="1:9" ht="14.25">
      <c r="A5" s="149"/>
      <c r="B5" s="149"/>
      <c r="C5" s="149"/>
      <c r="D5" s="149"/>
      <c r="E5" s="149"/>
      <c r="F5" s="146"/>
      <c r="G5" s="146"/>
      <c r="H5" s="146"/>
      <c r="I5" s="146"/>
    </row>
    <row r="6" spans="1:12" ht="18">
      <c r="A6" s="150" t="s">
        <v>190</v>
      </c>
      <c r="B6" s="151"/>
      <c r="C6" s="172"/>
      <c r="D6" s="172"/>
      <c r="E6" s="172"/>
      <c r="F6" s="172"/>
      <c r="G6" s="172"/>
      <c r="H6" s="172"/>
      <c r="I6" s="172"/>
      <c r="J6" s="3"/>
      <c r="K6" s="3"/>
      <c r="L6" s="3"/>
    </row>
    <row r="7" spans="1:12" ht="14.25">
      <c r="A7" s="146"/>
      <c r="B7" s="146"/>
      <c r="C7" s="172"/>
      <c r="D7" s="172"/>
      <c r="E7" s="172"/>
      <c r="F7" s="172"/>
      <c r="G7" s="172"/>
      <c r="H7" s="172"/>
      <c r="I7" s="172"/>
      <c r="J7" s="3"/>
      <c r="K7" s="3"/>
      <c r="L7" s="3"/>
    </row>
    <row r="8" spans="1:12" ht="14.25">
      <c r="A8" s="188" t="s">
        <v>219</v>
      </c>
      <c r="B8" s="189"/>
      <c r="C8" s="190"/>
      <c r="D8" s="190"/>
      <c r="E8" s="190"/>
      <c r="F8" s="190"/>
      <c r="G8" s="190"/>
      <c r="H8" s="190"/>
      <c r="I8" s="190"/>
      <c r="J8" s="3"/>
      <c r="K8" s="3"/>
      <c r="L8" s="3"/>
    </row>
    <row r="9" spans="1:12" ht="14.25">
      <c r="A9" s="189" t="s">
        <v>217</v>
      </c>
      <c r="B9" s="189"/>
      <c r="C9" s="190"/>
      <c r="D9" s="190"/>
      <c r="E9" s="190"/>
      <c r="F9" s="190"/>
      <c r="G9" s="190"/>
      <c r="H9" s="190"/>
      <c r="I9" s="190"/>
      <c r="J9" s="3"/>
      <c r="K9" s="3"/>
      <c r="L9" s="3"/>
    </row>
    <row r="10" spans="1:12" ht="14.25">
      <c r="A10" s="189" t="s">
        <v>218</v>
      </c>
      <c r="B10" s="189"/>
      <c r="C10" s="190"/>
      <c r="D10" s="190"/>
      <c r="E10" s="190"/>
      <c r="F10" s="190"/>
      <c r="G10" s="190"/>
      <c r="H10" s="190"/>
      <c r="I10" s="190"/>
      <c r="J10" s="3"/>
      <c r="K10" s="3"/>
      <c r="L10" s="3"/>
    </row>
    <row r="11" spans="1:12" ht="14.25">
      <c r="A11" s="149"/>
      <c r="B11" s="149"/>
      <c r="C11" s="128"/>
      <c r="D11" s="128"/>
      <c r="E11" s="128"/>
      <c r="F11" s="128"/>
      <c r="G11" s="128"/>
      <c r="H11" s="128"/>
      <c r="I11" s="128"/>
      <c r="J11" s="3"/>
      <c r="K11" s="3"/>
      <c r="L11" s="3"/>
    </row>
    <row r="12" spans="1:9" ht="18">
      <c r="A12" s="152" t="s">
        <v>17</v>
      </c>
      <c r="B12" s="146"/>
      <c r="C12" s="146"/>
      <c r="D12" s="146"/>
      <c r="E12" s="146"/>
      <c r="F12" s="146"/>
      <c r="G12" s="146"/>
      <c r="H12" s="146"/>
      <c r="I12" s="146"/>
    </row>
    <row r="13" spans="1:9" ht="14.25">
      <c r="A13" s="146" t="s">
        <v>191</v>
      </c>
      <c r="B13" s="146"/>
      <c r="C13" s="146"/>
      <c r="D13" s="146"/>
      <c r="E13" s="146"/>
      <c r="F13" s="146"/>
      <c r="G13" s="146"/>
      <c r="H13" s="146"/>
      <c r="I13" s="146"/>
    </row>
    <row r="14" spans="1:9" ht="14.25">
      <c r="A14" s="146" t="s">
        <v>192</v>
      </c>
      <c r="B14" s="146"/>
      <c r="C14" s="146"/>
      <c r="D14" s="146"/>
      <c r="E14" s="146"/>
      <c r="F14" s="146"/>
      <c r="G14" s="146"/>
      <c r="H14" s="146"/>
      <c r="I14" s="146"/>
    </row>
    <row r="15" spans="1:9" ht="14.25">
      <c r="A15" s="151" t="s">
        <v>207</v>
      </c>
      <c r="B15" s="151"/>
      <c r="C15" s="151" t="s">
        <v>226</v>
      </c>
      <c r="D15" s="151"/>
      <c r="E15" s="151"/>
      <c r="F15" s="151"/>
      <c r="G15" s="151"/>
      <c r="H15" s="151"/>
      <c r="I15" s="146"/>
    </row>
    <row r="16" spans="1:9" ht="14.25">
      <c r="A16" s="153" t="s">
        <v>220</v>
      </c>
      <c r="B16" s="153" t="s">
        <v>0</v>
      </c>
      <c r="C16" s="153" t="s">
        <v>193</v>
      </c>
      <c r="D16" s="153" t="s">
        <v>193</v>
      </c>
      <c r="E16" s="153" t="s">
        <v>193</v>
      </c>
      <c r="F16" s="174" t="s">
        <v>19</v>
      </c>
      <c r="G16" s="146"/>
      <c r="H16" s="146"/>
      <c r="I16" s="149"/>
    </row>
    <row r="17" spans="1:9" ht="14.25">
      <c r="A17" s="153" t="s">
        <v>224</v>
      </c>
      <c r="B17" s="153" t="s">
        <v>202</v>
      </c>
      <c r="C17" s="153" t="s">
        <v>175</v>
      </c>
      <c r="D17" s="153" t="s">
        <v>176</v>
      </c>
      <c r="E17" s="153" t="s">
        <v>177</v>
      </c>
      <c r="F17" s="174" t="s">
        <v>163</v>
      </c>
      <c r="G17" s="146"/>
      <c r="H17" s="146"/>
      <c r="I17" s="149"/>
    </row>
    <row r="18" spans="1:9" ht="14.25">
      <c r="A18" s="153" t="s">
        <v>198</v>
      </c>
      <c r="B18" s="153" t="s">
        <v>0</v>
      </c>
      <c r="C18" s="153" t="s">
        <v>201</v>
      </c>
      <c r="D18" s="153" t="s">
        <v>203</v>
      </c>
      <c r="E18" s="153" t="s">
        <v>201</v>
      </c>
      <c r="F18" s="174"/>
      <c r="G18" s="146"/>
      <c r="H18" s="146"/>
      <c r="I18" s="149"/>
    </row>
    <row r="19" spans="1:9" ht="14.25">
      <c r="A19" s="153" t="s">
        <v>21</v>
      </c>
      <c r="B19" s="5">
        <v>1000</v>
      </c>
      <c r="C19" s="5">
        <v>0</v>
      </c>
      <c r="D19" s="140">
        <v>0</v>
      </c>
      <c r="E19" s="5">
        <v>1000</v>
      </c>
      <c r="F19" s="143">
        <v>1</v>
      </c>
      <c r="G19" s="146" t="s">
        <v>194</v>
      </c>
      <c r="H19" s="146"/>
      <c r="I19" s="154" t="str">
        <f>IF(AND(B19&gt;0,B22&gt;0),B26/F25,"ikke relevant")</f>
        <v>ikke relevant</v>
      </c>
    </row>
    <row r="20" spans="1:9" ht="14.25">
      <c r="A20" s="153" t="s">
        <v>15</v>
      </c>
      <c r="B20" s="49">
        <v>27</v>
      </c>
      <c r="C20" s="155"/>
      <c r="D20" s="155"/>
      <c r="E20" s="155"/>
      <c r="F20" s="187"/>
      <c r="G20" s="146" t="s">
        <v>195</v>
      </c>
      <c r="H20" s="146"/>
      <c r="I20" s="154" t="str">
        <f>IF(AND(B19&gt;0,B23&gt;0),B28/F27,"ikke relevant")</f>
        <v>ikke relevant</v>
      </c>
    </row>
    <row r="21" spans="1:9" ht="14.25">
      <c r="A21" s="153" t="s">
        <v>1</v>
      </c>
      <c r="B21" s="49">
        <v>7</v>
      </c>
      <c r="C21" s="155"/>
      <c r="D21" s="155"/>
      <c r="E21" s="155"/>
      <c r="F21" s="165"/>
      <c r="G21" s="146" t="s">
        <v>204</v>
      </c>
      <c r="H21" s="146"/>
      <c r="I21" s="154" t="str">
        <f>IF(C19&gt;0,C26/F25,"ikke relevant")</f>
        <v>ikke relevant</v>
      </c>
    </row>
    <row r="22" spans="1:9" ht="14.25">
      <c r="A22" s="153" t="s">
        <v>2</v>
      </c>
      <c r="B22" s="49">
        <v>0</v>
      </c>
      <c r="C22" s="155"/>
      <c r="D22" s="155"/>
      <c r="E22" s="155"/>
      <c r="F22" s="165"/>
      <c r="G22" s="146" t="s">
        <v>205</v>
      </c>
      <c r="H22" s="146"/>
      <c r="I22" s="154" t="str">
        <f>IF(D19&gt;0,D28/F27,"ikke relevant")</f>
        <v>ikke relevant</v>
      </c>
    </row>
    <row r="23" spans="1:9" ht="14.25">
      <c r="A23" s="153" t="s">
        <v>3</v>
      </c>
      <c r="B23" s="6">
        <v>0</v>
      </c>
      <c r="C23" s="191">
        <v>5</v>
      </c>
      <c r="D23" s="191">
        <v>5</v>
      </c>
      <c r="E23" s="191">
        <v>5</v>
      </c>
      <c r="F23" s="165"/>
      <c r="G23" s="156" t="s">
        <v>206</v>
      </c>
      <c r="H23" s="157"/>
      <c r="I23" s="154">
        <f>IF(E19&gt;0,E26/F25,"ikke relevant")</f>
        <v>1091.3223140495868</v>
      </c>
    </row>
    <row r="24" spans="1:9" ht="14.25">
      <c r="A24" s="153" t="s">
        <v>4</v>
      </c>
      <c r="B24" s="5">
        <v>1500</v>
      </c>
      <c r="C24" s="155"/>
      <c r="D24" s="155"/>
      <c r="E24" s="155"/>
      <c r="F24" s="165"/>
      <c r="G24" s="158" t="s">
        <v>208</v>
      </c>
      <c r="H24" s="158"/>
      <c r="I24" s="159">
        <f>MIN(I19:I23)</f>
        <v>1091.3223140495868</v>
      </c>
    </row>
    <row r="25" spans="1:9" ht="14.25">
      <c r="A25" s="153" t="s">
        <v>16</v>
      </c>
      <c r="B25" s="160">
        <f>IF(B22&gt;0,(B$24*B$22)/6250-1.98-(B$20*B$21*0.0257),0)</f>
        <v>0</v>
      </c>
      <c r="C25" s="161">
        <v>26.41</v>
      </c>
      <c r="D25" s="162"/>
      <c r="E25" s="161">
        <v>26.41</v>
      </c>
      <c r="F25" s="73">
        <v>24.2</v>
      </c>
      <c r="G25" s="146"/>
      <c r="H25" s="146"/>
      <c r="I25" s="146"/>
    </row>
    <row r="26" spans="1:9" ht="14.25">
      <c r="A26" s="153" t="s">
        <v>5</v>
      </c>
      <c r="B26" s="186">
        <f>B19*B25</f>
        <v>0</v>
      </c>
      <c r="C26" s="163">
        <f>C19*C25</f>
        <v>0</v>
      </c>
      <c r="D26" s="164"/>
      <c r="E26" s="163">
        <f>E19*E25</f>
        <v>26410</v>
      </c>
      <c r="F26" s="15"/>
      <c r="G26" s="146"/>
      <c r="H26" s="146"/>
      <c r="I26" s="146"/>
    </row>
    <row r="27" spans="1:9" ht="14.25">
      <c r="A27" s="153" t="s">
        <v>14</v>
      </c>
      <c r="B27" s="141">
        <f>IF(B23&gt;0,(B$24*B$23)/1000-0.58-(B$20*B$21*0.006),0)</f>
        <v>0</v>
      </c>
      <c r="C27" s="161">
        <v>6.04</v>
      </c>
      <c r="D27" s="165">
        <v>5.65</v>
      </c>
      <c r="E27" s="155">
        <v>5.73</v>
      </c>
      <c r="F27" s="138">
        <v>5.24</v>
      </c>
      <c r="G27" s="146"/>
      <c r="H27" s="146"/>
      <c r="I27" s="146"/>
    </row>
    <row r="28" spans="1:9" ht="14.25">
      <c r="A28" s="153" t="s">
        <v>13</v>
      </c>
      <c r="B28" s="139">
        <f>B19*B27</f>
        <v>0</v>
      </c>
      <c r="C28" s="187">
        <f>C19*C27</f>
        <v>0</v>
      </c>
      <c r="D28" s="166">
        <f>D19*D27</f>
        <v>0</v>
      </c>
      <c r="E28" s="187">
        <f>E19*E27</f>
        <v>5730</v>
      </c>
      <c r="F28" s="155"/>
      <c r="G28" s="146"/>
      <c r="H28" s="146"/>
      <c r="I28" s="146"/>
    </row>
    <row r="29" spans="1:9" ht="14.25">
      <c r="A29" s="167"/>
      <c r="B29" s="168"/>
      <c r="C29" s="146"/>
      <c r="D29" s="146"/>
      <c r="E29" s="146"/>
      <c r="F29" s="146"/>
      <c r="G29" s="146"/>
      <c r="H29" s="146"/>
      <c r="I29" s="146"/>
    </row>
    <row r="30" spans="1:9" ht="14.25">
      <c r="A30" s="146"/>
      <c r="B30" s="146"/>
      <c r="C30" s="146"/>
      <c r="D30" s="146"/>
      <c r="E30" s="146"/>
      <c r="F30" s="146"/>
      <c r="G30" s="146"/>
      <c r="H30" s="146"/>
      <c r="I30" s="146"/>
    </row>
    <row r="31" spans="1:9" ht="21">
      <c r="A31" s="169" t="s">
        <v>27</v>
      </c>
      <c r="B31" s="146"/>
      <c r="C31" s="146"/>
      <c r="D31" s="146"/>
      <c r="E31" s="146"/>
      <c r="F31" s="146"/>
      <c r="G31" s="146"/>
      <c r="H31" s="146"/>
      <c r="I31" s="146"/>
    </row>
    <row r="32" spans="1:9" ht="14.25">
      <c r="A32" s="146" t="s">
        <v>197</v>
      </c>
      <c r="B32" s="146"/>
      <c r="C32" s="146"/>
      <c r="D32" s="146"/>
      <c r="E32" s="146"/>
      <c r="F32" s="146"/>
      <c r="G32" s="146"/>
      <c r="H32" s="146"/>
      <c r="I32" s="146"/>
    </row>
    <row r="33" spans="1:9" ht="14.25">
      <c r="A33" s="146" t="s">
        <v>227</v>
      </c>
      <c r="B33" s="146"/>
      <c r="C33" s="146"/>
      <c r="D33" s="146"/>
      <c r="E33" s="146"/>
      <c r="F33" s="146"/>
      <c r="G33" s="146"/>
      <c r="H33" s="146"/>
      <c r="I33" s="146"/>
    </row>
    <row r="34" spans="1:9" ht="14.25">
      <c r="A34" s="151" t="s">
        <v>207</v>
      </c>
      <c r="B34" s="151"/>
      <c r="C34" s="151" t="s">
        <v>226</v>
      </c>
      <c r="D34" s="151"/>
      <c r="E34" s="151"/>
      <c r="F34" s="151"/>
      <c r="G34" s="151"/>
      <c r="H34" s="151"/>
      <c r="I34" s="146"/>
    </row>
    <row r="35" spans="1:9" ht="14.25">
      <c r="A35" s="153" t="s">
        <v>220</v>
      </c>
      <c r="B35" s="153" t="s">
        <v>0</v>
      </c>
      <c r="C35" s="153" t="s">
        <v>193</v>
      </c>
      <c r="D35" s="153" t="s">
        <v>193</v>
      </c>
      <c r="E35" s="153" t="s">
        <v>19</v>
      </c>
      <c r="F35" s="174" t="s">
        <v>19</v>
      </c>
      <c r="G35" s="146"/>
      <c r="H35" s="146"/>
      <c r="I35" s="146"/>
    </row>
    <row r="36" spans="1:9" ht="14.25">
      <c r="A36" s="153" t="s">
        <v>224</v>
      </c>
      <c r="B36" s="153" t="s">
        <v>202</v>
      </c>
      <c r="C36" s="153" t="s">
        <v>175</v>
      </c>
      <c r="D36" s="153" t="s">
        <v>176</v>
      </c>
      <c r="E36" s="153" t="s">
        <v>177</v>
      </c>
      <c r="F36" s="174" t="s">
        <v>163</v>
      </c>
      <c r="G36" s="146"/>
      <c r="H36" s="146"/>
      <c r="I36" s="146"/>
    </row>
    <row r="37" spans="1:9" ht="14.25">
      <c r="A37" s="153" t="s">
        <v>198</v>
      </c>
      <c r="B37" s="153"/>
      <c r="C37" s="153" t="s">
        <v>199</v>
      </c>
      <c r="D37" s="153" t="s">
        <v>201</v>
      </c>
      <c r="E37" s="153" t="s">
        <v>200</v>
      </c>
      <c r="F37" s="174"/>
      <c r="G37" s="146"/>
      <c r="H37" s="146"/>
      <c r="I37" s="146"/>
    </row>
    <row r="38" spans="1:9" ht="14.25">
      <c r="A38" s="153" t="s">
        <v>6</v>
      </c>
      <c r="B38" s="5">
        <v>1000</v>
      </c>
      <c r="C38" s="5">
        <v>0</v>
      </c>
      <c r="D38" s="5">
        <v>0</v>
      </c>
      <c r="E38" s="5">
        <v>10000</v>
      </c>
      <c r="F38" s="143">
        <v>1</v>
      </c>
      <c r="G38" s="146" t="s">
        <v>194</v>
      </c>
      <c r="H38" s="146"/>
      <c r="I38" s="154" t="str">
        <f>IF(AND(B38&gt;0,B41&gt;0),B45/F44,"ikke relevant")</f>
        <v>ikke relevant</v>
      </c>
    </row>
    <row r="39" spans="1:9" ht="14.25">
      <c r="A39" s="153" t="s">
        <v>7</v>
      </c>
      <c r="B39" s="144">
        <v>7.2</v>
      </c>
      <c r="C39" s="144">
        <v>7.2</v>
      </c>
      <c r="D39" s="8">
        <v>7.2</v>
      </c>
      <c r="E39" s="144">
        <v>7.2</v>
      </c>
      <c r="F39" s="175">
        <v>7</v>
      </c>
      <c r="G39" s="146" t="s">
        <v>195</v>
      </c>
      <c r="H39" s="146"/>
      <c r="I39" s="154" t="str">
        <f>IF(AND(B38&gt;0,B42&gt;0),B47/F46,"ikke relevant")</f>
        <v>ikke relevant</v>
      </c>
    </row>
    <row r="40" spans="1:9" ht="14.25">
      <c r="A40" s="153" t="s">
        <v>8</v>
      </c>
      <c r="B40" s="144">
        <v>32</v>
      </c>
      <c r="C40" s="144">
        <v>32</v>
      </c>
      <c r="D40" s="8">
        <v>32</v>
      </c>
      <c r="E40" s="144">
        <v>32</v>
      </c>
      <c r="F40" s="176">
        <v>31</v>
      </c>
      <c r="G40" s="146" t="s">
        <v>204</v>
      </c>
      <c r="H40" s="146"/>
      <c r="I40" s="154" t="str">
        <f>IF(C38&gt;0,C47/F46,"ikke relevant")</f>
        <v>ikke relevant</v>
      </c>
    </row>
    <row r="41" spans="1:9" ht="14.25">
      <c r="A41" s="153" t="s">
        <v>10</v>
      </c>
      <c r="B41" s="49">
        <v>0</v>
      </c>
      <c r="C41" s="192"/>
      <c r="D41" s="193" t="s">
        <v>225</v>
      </c>
      <c r="E41" s="177"/>
      <c r="F41" s="178" t="s">
        <v>25</v>
      </c>
      <c r="G41" s="146" t="s">
        <v>205</v>
      </c>
      <c r="H41" s="146"/>
      <c r="I41" s="154" t="str">
        <f>IF(D38&gt;0,D45/F44,"ikke relevant")</f>
        <v>ikke relevant</v>
      </c>
    </row>
    <row r="42" spans="1:9" ht="14.25">
      <c r="A42" s="153" t="s">
        <v>11</v>
      </c>
      <c r="B42" s="6">
        <v>0</v>
      </c>
      <c r="C42" s="165"/>
      <c r="D42" s="171"/>
      <c r="E42" s="165"/>
      <c r="F42" s="178" t="s">
        <v>24</v>
      </c>
      <c r="G42" s="156" t="s">
        <v>206</v>
      </c>
      <c r="H42" s="157"/>
      <c r="I42" s="154">
        <f>IF(E38&gt;0,E47/F46,"ikke relevant")</f>
        <v>11286.05143800278</v>
      </c>
    </row>
    <row r="43" spans="1:9" ht="14.25">
      <c r="A43" s="153" t="s">
        <v>9</v>
      </c>
      <c r="B43" s="5">
        <v>2</v>
      </c>
      <c r="C43" s="155"/>
      <c r="D43" s="179"/>
      <c r="E43" s="155"/>
      <c r="F43" s="165"/>
      <c r="G43" s="158" t="s">
        <v>223</v>
      </c>
      <c r="H43" s="158"/>
      <c r="I43" s="159">
        <f>MIN(I38:I42)</f>
        <v>11286.05143800278</v>
      </c>
    </row>
    <row r="44" spans="1:9" ht="14.25">
      <c r="A44" s="153" t="s">
        <v>22</v>
      </c>
      <c r="B44" s="179">
        <f>IF(B41&gt;0,((B40-B39)*B43*B41/6250)-(B40-B39)*0.0304,0)</f>
        <v>0</v>
      </c>
      <c r="C44" s="180">
        <f>(C40-C39)*(15.42+0.2072*(C40+C39))/1000</f>
        <v>0.5838475519999999</v>
      </c>
      <c r="D44" s="180">
        <f>(D40-D39)*(15.42+0.2072*(D40+D39))/1000</f>
        <v>0.5838475519999999</v>
      </c>
      <c r="E44" s="180">
        <f>(E40-E39)*(15.42+0.2072*(E40+E39))/1000</f>
        <v>0.5838475519999999</v>
      </c>
      <c r="F44" s="181">
        <f>(F40-F39)*(13.92+0.1612*(F40+F39))/1000</f>
        <v>0.48109440000000003</v>
      </c>
      <c r="G44" s="158" t="s">
        <v>221</v>
      </c>
      <c r="H44" s="158"/>
      <c r="I44" s="185">
        <f>F39</f>
        <v>7</v>
      </c>
    </row>
    <row r="45" spans="1:9" ht="14.25">
      <c r="A45" s="153" t="s">
        <v>5</v>
      </c>
      <c r="B45" s="171">
        <f>B38*B44</f>
        <v>0</v>
      </c>
      <c r="C45" s="168">
        <f>C38*C44</f>
        <v>0</v>
      </c>
      <c r="D45" s="182">
        <f>D38*D44</f>
        <v>0</v>
      </c>
      <c r="E45" s="168">
        <f>E38*E44</f>
        <v>5838.475519999999</v>
      </c>
      <c r="F45" s="179"/>
      <c r="G45" s="158" t="s">
        <v>222</v>
      </c>
      <c r="H45" s="158"/>
      <c r="I45" s="185">
        <f>F40</f>
        <v>31</v>
      </c>
    </row>
    <row r="46" spans="1:9" ht="14.25">
      <c r="A46" s="153" t="s">
        <v>12</v>
      </c>
      <c r="B46" s="179">
        <f>IF(B42&gt;0,((B40-B39)*B43*B42/1000)-(B40-B39)*0.0049,0)</f>
        <v>0</v>
      </c>
      <c r="C46" s="183">
        <f>((C40-C39)*(5.08+0.0173*(C40+C39)))/1000</f>
        <v>0.142802368</v>
      </c>
      <c r="D46" s="183">
        <f>((D40-D39)*(5.59+0.0128*(D40+D39)))/1000</f>
        <v>0.151075648</v>
      </c>
      <c r="E46" s="183">
        <f>((E40-E39)*(5.003+0.0153*(E40+E39)))/1000</f>
        <v>0.138948448</v>
      </c>
      <c r="F46" s="184">
        <f>(F40-F39)*(4.024+0.0291*(F40+F39))/1000</f>
        <v>0.12311520000000002</v>
      </c>
      <c r="G46" s="146"/>
      <c r="H46" s="146"/>
      <c r="I46" s="146"/>
    </row>
    <row r="47" spans="1:9" ht="14.25">
      <c r="A47" s="153" t="s">
        <v>13</v>
      </c>
      <c r="B47" s="187">
        <f>B38*B46</f>
        <v>0</v>
      </c>
      <c r="C47" s="166">
        <f>C38*C46</f>
        <v>0</v>
      </c>
      <c r="D47" s="155"/>
      <c r="E47" s="166">
        <f>E38*E46</f>
        <v>1389.48448</v>
      </c>
      <c r="F47" s="155"/>
      <c r="G47" s="146"/>
      <c r="H47" s="146"/>
      <c r="I47" s="146"/>
    </row>
    <row r="48" spans="1:9" ht="14.25">
      <c r="A48" s="149"/>
      <c r="B48" s="170"/>
      <c r="C48" s="171"/>
      <c r="D48" s="146"/>
      <c r="E48" s="146"/>
      <c r="F48" s="146"/>
      <c r="G48" s="146"/>
      <c r="H48" s="146"/>
      <c r="I48" s="146"/>
    </row>
    <row r="49" spans="1:9" ht="14.25">
      <c r="A49" s="146"/>
      <c r="B49" s="146"/>
      <c r="C49" s="146"/>
      <c r="D49" s="146"/>
      <c r="E49" s="146"/>
      <c r="F49" s="146"/>
      <c r="G49" s="146"/>
      <c r="H49" s="146"/>
      <c r="I49" s="146"/>
    </row>
    <row r="50" spans="1:9" ht="14.25">
      <c r="A50" s="157" t="s">
        <v>209</v>
      </c>
      <c r="B50" s="146"/>
      <c r="C50" s="146"/>
      <c r="D50" s="146"/>
      <c r="E50" s="146"/>
      <c r="F50" s="146"/>
      <c r="G50" s="146"/>
      <c r="H50" s="146"/>
      <c r="I50" s="146"/>
    </row>
    <row r="51" spans="1:9" ht="14.25">
      <c r="A51" s="146"/>
      <c r="B51" s="146"/>
      <c r="C51" s="146"/>
      <c r="D51" s="146"/>
      <c r="E51" s="146"/>
      <c r="F51" s="146"/>
      <c r="G51" s="146"/>
      <c r="H51" s="146"/>
      <c r="I51" s="146"/>
    </row>
    <row r="52" spans="1:9" ht="14.25">
      <c r="A52" s="157" t="s">
        <v>210</v>
      </c>
      <c r="B52" s="146"/>
      <c r="C52" s="146"/>
      <c r="D52" s="146"/>
      <c r="E52" s="146"/>
      <c r="F52" s="146"/>
      <c r="G52" s="146"/>
      <c r="H52" s="146"/>
      <c r="I52" s="146"/>
    </row>
    <row r="53" spans="1:9" ht="14.25">
      <c r="A53" s="146"/>
      <c r="B53" s="146"/>
      <c r="C53" s="146"/>
      <c r="D53" s="146"/>
      <c r="E53" s="146"/>
      <c r="F53" s="146"/>
      <c r="G53" s="146"/>
      <c r="H53" s="146"/>
      <c r="I53" s="146"/>
    </row>
    <row r="54" spans="1:9" ht="14.25">
      <c r="A54" s="173" t="s">
        <v>213</v>
      </c>
      <c r="B54" s="173"/>
      <c r="C54" s="173"/>
      <c r="D54" s="173"/>
      <c r="E54" s="173"/>
      <c r="F54" s="173"/>
      <c r="G54" s="173"/>
      <c r="H54" s="173"/>
      <c r="I54" s="173"/>
    </row>
    <row r="55" spans="1:9" ht="14.25">
      <c r="A55" s="173" t="s">
        <v>214</v>
      </c>
      <c r="B55" s="173"/>
      <c r="C55" s="173"/>
      <c r="D55" s="173"/>
      <c r="E55" s="173"/>
      <c r="F55" s="173"/>
      <c r="G55" s="173"/>
      <c r="H55" s="173"/>
      <c r="I55" s="173"/>
    </row>
    <row r="56" spans="1:9" ht="14.25">
      <c r="A56" s="173" t="s">
        <v>216</v>
      </c>
      <c r="B56" s="173"/>
      <c r="C56" s="173"/>
      <c r="D56" s="173"/>
      <c r="E56" s="173"/>
      <c r="F56" s="173"/>
      <c r="G56" s="173"/>
      <c r="H56" s="173"/>
      <c r="I56" s="173"/>
    </row>
    <row r="57" spans="1:9" ht="14.25">
      <c r="A57" s="173" t="s">
        <v>215</v>
      </c>
      <c r="B57" s="173"/>
      <c r="C57" s="173"/>
      <c r="D57" s="173"/>
      <c r="E57" s="173"/>
      <c r="F57" s="173"/>
      <c r="G57" s="173"/>
      <c r="H57" s="173"/>
      <c r="I57" s="173"/>
    </row>
  </sheetData>
  <sheetProtection password="DE48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Landbrugsrådgivning, Landscentret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anmeldeordning, miljø</dc:subject>
  <dc:creator>Per Tybirk</dc:creator>
  <cp:keywords/>
  <dc:description/>
  <cp:lastModifiedBy>Per Tybirk</cp:lastModifiedBy>
  <cp:lastPrinted>2017-04-05T09:15:14Z</cp:lastPrinted>
  <dcterms:created xsi:type="dcterms:W3CDTF">2010-10-15T07:29:17Z</dcterms:created>
  <dcterms:modified xsi:type="dcterms:W3CDTF">2017-04-05T09:29:52Z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0x01010039AECF0C0DF042669F1227F4A133879E0100C463F228579D7B40BC7AC9090504053D</vt:lpwstr>
  </property>
  <property fmtid="{D5CDD505-2E9C-101B-9397-08002B2CF9AE}" pid="3" name="DocuWise.Language">
    <vt:lpwstr/>
  </property>
  <property fmtid="{D5CDD505-2E9C-101B-9397-08002B2CF9AE}" pid="4" name="DocuWise.Project">
    <vt:lpwstr/>
  </property>
  <property fmtid="{D5CDD505-2E9C-101B-9397-08002B2CF9AE}" pid="5" name="Docuwise.Type">
    <vt:lpwstr/>
  </property>
  <property fmtid="{D5CDD505-2E9C-101B-9397-08002B2CF9AE}" pid="6" name="Docuwise.Person">
    <vt:lpwstr>per tybirk</vt:lpwstr>
  </property>
  <property fmtid="{D5CDD505-2E9C-101B-9397-08002B2CF9AE}" pid="7" name="Docuwise.PersonText">
    <vt:lpwstr/>
  </property>
  <property fmtid="{D5CDD505-2E9C-101B-9397-08002B2CF9AE}" pid="8" name="Docuwise.Received">
    <vt:lpwstr>0</vt:lpwstr>
  </property>
  <property fmtid="{D5CDD505-2E9C-101B-9397-08002B2CF9AE}" pid="9" name="Docuwise.Ended">
    <vt:lpwstr>0</vt:lpwstr>
  </property>
  <property fmtid="{D5CDD505-2E9C-101B-9397-08002B2CF9AE}" pid="10" name="Docuwise.Legacy.Department">
    <vt:lpwstr/>
  </property>
  <property fmtid="{D5CDD505-2E9C-101B-9397-08002B2CF9AE}" pid="11" name="Docuwise.CompanyText">
    <vt:lpwstr/>
  </property>
  <property fmtid="{D5CDD505-2E9C-101B-9397-08002B2CF9AE}" pid="12" name="Docuwise.Legacy.CreatedByEmail">
    <vt:lpwstr>pet@seges.dk</vt:lpwstr>
  </property>
  <property fmtid="{D5CDD505-2E9C-101B-9397-08002B2CF9AE}" pid="13" name="DocuWise.Number">
    <vt:lpwstr/>
  </property>
  <property fmtid="{D5CDD505-2E9C-101B-9397-08002B2CF9AE}" pid="14" name="DocuWise.CaseWorker">
    <vt:lpwstr>334;#Per Tybirk</vt:lpwstr>
  </property>
  <property fmtid="{D5CDD505-2E9C-101B-9397-08002B2CF9AE}" pid="15" name="Docuwise.Legacy.CaseWorkerEmail">
    <vt:lpwstr>pet@seges.dk</vt:lpwstr>
  </property>
  <property fmtid="{D5CDD505-2E9C-101B-9397-08002B2CF9AE}" pid="16" name="DocuWise.CHRNumber">
    <vt:lpwstr/>
  </property>
  <property fmtid="{D5CDD505-2E9C-101B-9397-08002B2CF9AE}" pid="17" name="Docuwise.Legacy.CreatedByName">
    <vt:lpwstr/>
  </property>
  <property fmtid="{D5CDD505-2E9C-101B-9397-08002B2CF9AE}" pid="18" name="Docuwise.Legacy.CaseWorkerName">
    <vt:lpwstr>Per Tybirk</vt:lpwstr>
  </property>
  <property fmtid="{D5CDD505-2E9C-101B-9397-08002B2CF9AE}" pid="19" name="DocuWise.TestNumber">
    <vt:lpwstr/>
  </property>
  <property fmtid="{D5CDD505-2E9C-101B-9397-08002B2CF9AE}" pid="20" name="Docuwise.Company">
    <vt:lpwstr/>
  </property>
  <property fmtid="{D5CDD505-2E9C-101B-9397-08002B2CF9AE}" pid="21" name="DocuWise.JobDescription">
    <vt:lpwstr/>
  </property>
  <property fmtid="{D5CDD505-2E9C-101B-9397-08002B2CF9AE}" pid="22" name="_dlc_DocId">
    <vt:lpwstr>LFID-25-79569</vt:lpwstr>
  </property>
  <property fmtid="{D5CDD505-2E9C-101B-9397-08002B2CF9AE}" pid="23" name="_dlc_DocIdItemGuid">
    <vt:lpwstr>468e84ff-10b8-4417-be5e-a211d9f71475</vt:lpwstr>
  </property>
  <property fmtid="{D5CDD505-2E9C-101B-9397-08002B2CF9AE}" pid="24" name="_dlc_DocIdUrl">
    <vt:lpwstr>http://lf-dokumenter/vsp/vspaktivteter/_layouts/DocIdRedir.aspx?ID=LFID-25-79569, LFID-25-79569</vt:lpwstr>
  </property>
</Properties>
</file>