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35" windowHeight="9495" activeTab="0"/>
  </bookViews>
  <sheets>
    <sheet name="§17 kun slagtesvin" sheetId="1" r:id="rId1"/>
    <sheet name="FRATS, eksempel §17 og 14" sheetId="2" r:id="rId2"/>
    <sheet name="§14, skift dyretype fra 010817" sheetId="3" r:id="rId3"/>
  </sheets>
  <definedNames>
    <definedName name="_AMO_UniqueIdentifier" hidden="1">"'98a9909e-52dc-4371-a0c9-43c678d92a1a'"</definedName>
  </definedNames>
  <calcPr fullCalcOnLoad="1"/>
</workbook>
</file>

<file path=xl/sharedStrings.xml><?xml version="1.0" encoding="utf-8"?>
<sst xmlns="http://schemas.openxmlformats.org/spreadsheetml/2006/main" count="136" uniqueCount="124">
  <si>
    <t>Råprotein, g/FEsv</t>
  </si>
  <si>
    <t>Normtal</t>
  </si>
  <si>
    <t>antal</t>
  </si>
  <si>
    <t>N ab dyr</t>
  </si>
  <si>
    <t>anmeldt</t>
  </si>
  <si>
    <t>Regneark til beregning af udvidelsesmuligheder, anmeldeordning, §17</t>
  </si>
  <si>
    <t>Anmeldt</t>
  </si>
  <si>
    <t>Godkendt antal stipladser</t>
  </si>
  <si>
    <t>godkendt år</t>
  </si>
  <si>
    <t>011011-300912</t>
  </si>
  <si>
    <t>011012-300913</t>
  </si>
  <si>
    <t>011014-300915</t>
  </si>
  <si>
    <t>011015-300916</t>
  </si>
  <si>
    <t>normtal</t>
  </si>
  <si>
    <t>N ab dyr, egne tal</t>
  </si>
  <si>
    <t>N ab dyr, i alt egne tal</t>
  </si>
  <si>
    <t>Max antal egne tal</t>
  </si>
  <si>
    <t>fra kg</t>
  </si>
  <si>
    <t>til, kg:</t>
  </si>
  <si>
    <t>i alt, kg</t>
  </si>
  <si>
    <t>pr svin, kg</t>
  </si>
  <si>
    <t>011013-300914</t>
  </si>
  <si>
    <t>max</t>
  </si>
  <si>
    <t>Indg. vægt</t>
  </si>
  <si>
    <t>afgangsvægt</t>
  </si>
  <si>
    <t>Max producerede ud fra ingen stigning i N ab dyr - vælg relevant år eller egne tal, hvis fodervilkår</t>
  </si>
  <si>
    <t>Godkendt antal producerede</t>
  </si>
  <si>
    <t>stipladser x gns vægt må ikke stige</t>
  </si>
  <si>
    <t>010107-010411*</t>
  </si>
  <si>
    <t>010411*-300911</t>
  </si>
  <si>
    <t>basis godkendte stipladser (350 kg´s regel)</t>
  </si>
  <si>
    <t>Der kan indtastes i gule felter</t>
  </si>
  <si>
    <t>Max producerede findes i grønne felter - vælg kun relevant begrænsning</t>
  </si>
  <si>
    <t>Egne tal anvendt ved godkendelsen</t>
  </si>
  <si>
    <t>Max producerede, antal anmeldt vægt</t>
  </si>
  <si>
    <t>Max antal på stald, anmeldt vægtinterval</t>
  </si>
  <si>
    <t>Antal stipladser x gns vægt, godkendt</t>
  </si>
  <si>
    <t>2016-17 normtal</t>
  </si>
  <si>
    <t>N ab dyr, kg pr svin</t>
  </si>
  <si>
    <t>(beregningsgrundlag udvidelse)</t>
  </si>
  <si>
    <t>Udvidelser ifølge § 17 gælder kun for slagtesvin, normalt tolket som "fra 25 kg"</t>
  </si>
  <si>
    <t xml:space="preserve">og et antal godkendte producerede slagtesvin. Begge dyregrupper med et antal </t>
  </si>
  <si>
    <t>tilhørende stipladser og godkendte vægtintervaller.</t>
  </si>
  <si>
    <t>I tilfælde, hvor der i forvejen er flere godkendte smågrise end slagtesvin</t>
  </si>
  <si>
    <t>I tilfælde, hvor man ønsker at producere flere slagtesvin end godkendte smågrise</t>
  </si>
  <si>
    <t>ifølge § 14.</t>
  </si>
  <si>
    <t>Man beregner derfor først tilladt produktion ifølge §17 og derefter konverterer</t>
  </si>
  <si>
    <t>man til ønsket sammensætning.</t>
  </si>
  <si>
    <t>Godkendt produktion - evt efter § 17 anmeldelse</t>
  </si>
  <si>
    <t>Slagtesvin</t>
  </si>
  <si>
    <t>Årssøer</t>
  </si>
  <si>
    <t>2010-14</t>
  </si>
  <si>
    <t>2014-17</t>
  </si>
  <si>
    <t>Dyreenheder, pr dyr</t>
  </si>
  <si>
    <t>2002-10</t>
  </si>
  <si>
    <t>1000 årssøer kan konverteres til antal smågrise</t>
  </si>
  <si>
    <t>1000 årssøer kan konverteres til antal slagtesvin</t>
  </si>
  <si>
    <t>1000 slagtesvin kan konverteres til antal smågrise</t>
  </si>
  <si>
    <t>1000 slagtesvin kan konverteres til antal årssøer</t>
  </si>
  <si>
    <t>1000 smågrise kan konverteres til antal årssøer</t>
  </si>
  <si>
    <t>1000 smågrise kan konverteres til antal slagtesvin</t>
  </si>
  <si>
    <t>antal årssøer</t>
  </si>
  <si>
    <t>antal producerede</t>
  </si>
  <si>
    <t>Indenfor det aktuelle års DE-definition</t>
  </si>
  <si>
    <t>indeholder 50% DE reduktion</t>
  </si>
  <si>
    <t>indeholder 30% DE reduktion</t>
  </si>
  <si>
    <t>Muligheder for skift i dyretype fra 1. august 2017 ifølge §14</t>
  </si>
  <si>
    <t>Konverteringstabel, pr 1000 af en slags til antal ny slags</t>
  </si>
  <si>
    <t>DE i alt, beregningstjek</t>
  </si>
  <si>
    <t>Reglerne kræver 30 eller 50 % reduktion i DE ud fra dyreenhedsdefinition på godkendelsestidspunktet</t>
  </si>
  <si>
    <t>Smågrise</t>
  </si>
  <si>
    <t>indgangsvægt</t>
  </si>
  <si>
    <t>Eksempel på konvertering § 17 på slagtesvin efterfulgt af § 14 tilpasning</t>
  </si>
  <si>
    <t>Godkendelse i 2008</t>
  </si>
  <si>
    <t>10. 000 smågrise 7,3-32 kg</t>
  </si>
  <si>
    <t>10.000 slagtesvin, 32-107 kg</t>
  </si>
  <si>
    <t>2500 stipladser</t>
  </si>
  <si>
    <t>1538 stipladser</t>
  </si>
  <si>
    <t>Dette ønskes konverteret til max muligt antal fra 7,3-113 kg</t>
  </si>
  <si>
    <t>I dette tilfælde er det 350 kg pr stiplads, som er mest begrænsende</t>
  </si>
  <si>
    <t>forudsat der ikke er mere end 2397 slagtesvin på stald samtidigt ( dyr &gt; 32 kg)</t>
  </si>
  <si>
    <t>Ifølge § 14 kan 1000 slagtesvin fra 32-113 kg konverteres til 3832 smågrise 7,3-32 kg</t>
  </si>
  <si>
    <t xml:space="preserve">Den nye produktion kan på denne måde eksempelvis blive </t>
  </si>
  <si>
    <t>10774 smågrise 7,3-32 kg</t>
  </si>
  <si>
    <t>10600 slagtesvin 32-113 kg</t>
  </si>
  <si>
    <t>kan man få behov for at konvertere slagtesvinedyreenheder til smågrisedyreenheder</t>
  </si>
  <si>
    <t>Det vil være muligt at udvide til 10802 slagtesvin 32-113 kg ifølge §17 faneblad</t>
  </si>
  <si>
    <t>Det er valgt at give plads til lidt slagtesvinedødelighed, selv om det ikke</t>
  </si>
  <si>
    <t>var med i oprindelig godkendelse.</t>
  </si>
  <si>
    <t>Eksempel kombination af §17 og §14 ved FRATS-produktion</t>
  </si>
  <si>
    <t>Langt de fleste FRATS-godkendelser er dog opdelt i et antal godkendte smågrise</t>
  </si>
  <si>
    <t>Skriv 0 i råprotein, hvis ingen fodervilkår</t>
  </si>
  <si>
    <t>10802 slagtesvin kan derfor  konverteres til 10600 slagtesvin og 774 smågrise</t>
  </si>
  <si>
    <t>kan man anvende § 17 direkte på slagtesvinedelen - uden korrektion af antal smågrise.</t>
  </si>
  <si>
    <t>reducere omdriftstiden for nogle af holdene)</t>
  </si>
  <si>
    <t xml:space="preserve">(En sådan udvidelse i antal producerede kan f.eks. ske ved at </t>
  </si>
  <si>
    <t>Brug denne formel, hvis oprindelig slagtesvinegodkendelse</t>
  </si>
  <si>
    <t>I mange godkendelser er der brugt en formel, hvor der går 35 slagtesvin pr DE fra 30-102 kg, fordi beregninger basis oprindelig 2002 formel</t>
  </si>
  <si>
    <t>*Særligt for slagtesvin, som er godkendt under dyreenhedsdefinition fra 2002-2010:</t>
  </si>
  <si>
    <t>Slagtesvin, formel basis afvigelse fra 30-102 kg*</t>
  </si>
  <si>
    <t>er afrundet fra 34,72 til 35,0 slagtesvin fra 30-102 kg i  i gødningsvejledning - ud fra dette kan slagtesvin konverteres til:</t>
  </si>
  <si>
    <t>Reglerne kræver alene en beregning basis dyreenheder</t>
  </si>
  <si>
    <t>Dette betyder, at der ved normal drift normalt vil være lavere ammoniak og lugtemission end før skift i dyretype.</t>
  </si>
  <si>
    <t>Disse regler gælder kun for svinebrug, som er godkendt før 1. august 2017</t>
  </si>
  <si>
    <t>kg pr svin</t>
  </si>
  <si>
    <t>kg i alt</t>
  </si>
  <si>
    <t>Reglerne gælder fra 1. august 2017 til 31. juli 2018.</t>
  </si>
  <si>
    <t>**</t>
  </si>
  <si>
    <t>er regnet som afvigelse fra 35 svin, 30-102 kg pr. DE</t>
  </si>
  <si>
    <t>Slutvægt for  smågrise og startvægt slagtesvin må max være 40 kg for at formler er korrekte</t>
  </si>
  <si>
    <t>levende</t>
  </si>
  <si>
    <t>Godkendt</t>
  </si>
  <si>
    <t>(levende afgangsvægt er slagtevægt x 1,31)</t>
  </si>
  <si>
    <t>FEsv pr. kg tilvækst</t>
  </si>
  <si>
    <t xml:space="preserve">Gælder for slagtesvin godkendt efter 01-01-2007. </t>
  </si>
  <si>
    <t>Navn på ejer/ejendom:</t>
  </si>
  <si>
    <t>Svinestien 17, 6666 Svinsted</t>
  </si>
  <si>
    <t>** Hvis antal bliver større end med aktuelt normtal, må der være en fejl i ansøgning eller indtastning!</t>
  </si>
  <si>
    <t>*Præcis skiftedato er usikker, se om grundlag er 2005/06 eller 2010/11 normtal i godkendelsen</t>
  </si>
  <si>
    <t>Der indtastes i gule felter - og muligt antal nye dyr pr. 1000 oprindelige dyr beregnes i grønne felter</t>
  </si>
  <si>
    <t>frav. vægt</t>
  </si>
  <si>
    <t>frav/årsso</t>
  </si>
  <si>
    <t>Sofus Svinholdt</t>
  </si>
  <si>
    <t>Søern Svinholdt, Svinestien 27, 9999 Ornested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</si>
</sst>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0.0000000000"/>
    <numFmt numFmtId="172" formatCode="0.00000000000"/>
    <numFmt numFmtId="173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3" applyNumberFormat="0" applyAlignment="0" applyProtection="0"/>
    <xf numFmtId="0" fontId="32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1" fontId="40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0" fillId="12" borderId="0" xfId="0" applyFill="1" applyAlignment="1">
      <alignment/>
    </xf>
    <xf numFmtId="0" fontId="40" fillId="12" borderId="0" xfId="0" applyFont="1" applyFill="1" applyAlignment="1">
      <alignment/>
    </xf>
    <xf numFmtId="0" fontId="0" fillId="6" borderId="0" xfId="0" applyFill="1" applyAlignment="1">
      <alignment/>
    </xf>
    <xf numFmtId="0" fontId="0" fillId="12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40" fillId="18" borderId="0" xfId="0" applyFont="1" applyFill="1" applyAlignment="1">
      <alignment/>
    </xf>
    <xf numFmtId="0" fontId="0" fillId="18" borderId="0" xfId="0" applyFill="1" applyAlignment="1">
      <alignment/>
    </xf>
    <xf numFmtId="165" fontId="0" fillId="6" borderId="0" xfId="0" applyNumberFormat="1" applyFill="1" applyAlignment="1">
      <alignment horizontal="center"/>
    </xf>
    <xf numFmtId="165" fontId="0" fillId="12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42" fillId="33" borderId="0" xfId="0" applyFont="1" applyFill="1" applyAlignment="1">
      <alignment/>
    </xf>
    <xf numFmtId="0" fontId="42" fillId="34" borderId="0" xfId="0" applyFont="1" applyFill="1" applyAlignment="1">
      <alignment/>
    </xf>
    <xf numFmtId="0" fontId="0" fillId="12" borderId="0" xfId="0" applyFill="1" applyAlignment="1">
      <alignment horizontal="left"/>
    </xf>
    <xf numFmtId="165" fontId="0" fillId="18" borderId="0" xfId="0" applyNumberFormat="1" applyFill="1" applyAlignment="1">
      <alignment horizontal="center"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36" borderId="0" xfId="0" applyFill="1" applyAlignment="1">
      <alignment/>
    </xf>
    <xf numFmtId="17" fontId="0" fillId="12" borderId="0" xfId="0" applyNumberFormat="1" applyFill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0" fillId="6" borderId="0" xfId="0" applyFont="1" applyFill="1" applyAlignment="1">
      <alignment/>
    </xf>
    <xf numFmtId="0" fontId="40" fillId="36" borderId="0" xfId="0" applyFont="1" applyFill="1" applyAlignment="1">
      <alignment/>
    </xf>
    <xf numFmtId="0" fontId="0" fillId="35" borderId="0" xfId="0" applyFill="1" applyAlignment="1">
      <alignment horizontal="center"/>
    </xf>
    <xf numFmtId="0" fontId="0" fillId="10" borderId="0" xfId="0" applyFill="1" applyAlignment="1">
      <alignment/>
    </xf>
    <xf numFmtId="16" fontId="0" fillId="6" borderId="0" xfId="0" applyNumberFormat="1" applyFill="1" applyAlignment="1">
      <alignment/>
    </xf>
    <xf numFmtId="1" fontId="0" fillId="27" borderId="0" xfId="0" applyNumberFormat="1" applyFill="1" applyAlignment="1">
      <alignment horizontal="center"/>
    </xf>
    <xf numFmtId="2" fontId="0" fillId="27" borderId="0" xfId="0" applyNumberFormat="1" applyFill="1" applyAlignment="1">
      <alignment horizontal="center"/>
    </xf>
    <xf numFmtId="170" fontId="0" fillId="27" borderId="0" xfId="0" applyNumberFormat="1" applyFill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4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170" fontId="0" fillId="33" borderId="0" xfId="0" applyNumberFormat="1" applyFill="1" applyAlignment="1" applyProtection="1">
      <alignment horizontal="center"/>
      <protection locked="0"/>
    </xf>
    <xf numFmtId="0" fontId="25" fillId="6" borderId="0" xfId="0" applyFont="1" applyFill="1" applyAlignment="1">
      <alignment/>
    </xf>
    <xf numFmtId="0" fontId="25" fillId="12" borderId="0" xfId="0" applyFont="1" applyFill="1" applyAlignment="1">
      <alignment horizontal="left"/>
    </xf>
    <xf numFmtId="1" fontId="0" fillId="33" borderId="0" xfId="0" applyNumberFormat="1" applyFill="1" applyAlignment="1" applyProtection="1">
      <alignment horizontal="center"/>
      <protection locked="0"/>
    </xf>
    <xf numFmtId="0" fontId="0" fillId="18" borderId="0" xfId="0" applyFill="1" applyAlignment="1" applyProtection="1">
      <alignment horizontal="center"/>
      <protection locked="0"/>
    </xf>
    <xf numFmtId="170" fontId="0" fillId="18" borderId="0" xfId="0" applyNumberFormat="1" applyFill="1" applyAlignment="1">
      <alignment horizontal="center"/>
    </xf>
    <xf numFmtId="164" fontId="0" fillId="12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12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4" fontId="0" fillId="18" borderId="0" xfId="0" applyNumberFormat="1" applyFill="1" applyAlignment="1">
      <alignment horizontal="center"/>
    </xf>
    <xf numFmtId="0" fontId="0" fillId="37" borderId="0" xfId="0" applyFill="1" applyAlignment="1">
      <alignment/>
    </xf>
    <xf numFmtId="165" fontId="0" fillId="12" borderId="0" xfId="0" applyNumberFormat="1" applyFill="1" applyAlignment="1">
      <alignment horizontal="left"/>
    </xf>
    <xf numFmtId="0" fontId="42" fillId="0" borderId="0" xfId="0" applyFont="1" applyFill="1" applyAlignment="1">
      <alignment/>
    </xf>
    <xf numFmtId="0" fontId="42" fillId="33" borderId="0" xfId="0" applyFont="1" applyFill="1" applyAlignment="1" applyProtection="1">
      <alignment/>
      <protection locked="0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/>
    </xf>
    <xf numFmtId="170" fontId="0" fillId="34" borderId="0" xfId="0" applyNumberFormat="1" applyFill="1" applyAlignment="1">
      <alignment/>
    </xf>
    <xf numFmtId="1" fontId="0" fillId="34" borderId="0" xfId="0" applyNumberFormat="1" applyFill="1" applyAlignment="1">
      <alignment horizontal="center"/>
    </xf>
    <xf numFmtId="170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40" fillId="10" borderId="0" xfId="0" applyNumberFormat="1" applyFont="1" applyFill="1" applyAlignment="1">
      <alignment horizont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5.7109375" style="0" customWidth="1"/>
    <col min="2" max="2" width="10.28125" style="0" customWidth="1"/>
    <col min="3" max="3" width="10.421875" style="0" customWidth="1"/>
    <col min="6" max="6" width="10.28125" style="0" customWidth="1"/>
    <col min="7" max="7" width="10.00390625" style="0" customWidth="1"/>
  </cols>
  <sheetData>
    <row r="1" ht="18.75">
      <c r="A1" s="24" t="s">
        <v>5</v>
      </c>
    </row>
    <row r="2" ht="15.75">
      <c r="A2" s="3" t="s">
        <v>114</v>
      </c>
    </row>
    <row r="3" ht="15.75">
      <c r="A3" s="3" t="s">
        <v>106</v>
      </c>
    </row>
    <row r="4" spans="1:3" ht="15.75">
      <c r="A4" s="18" t="s">
        <v>31</v>
      </c>
      <c r="B4" s="1"/>
      <c r="C4" s="1"/>
    </row>
    <row r="5" spans="1:3" ht="15.75">
      <c r="A5" s="57" t="s">
        <v>115</v>
      </c>
      <c r="B5" s="2"/>
      <c r="C5" s="2"/>
    </row>
    <row r="6" spans="1:3" ht="15.75">
      <c r="A6" s="58" t="s">
        <v>122</v>
      </c>
      <c r="B6" s="40"/>
      <c r="C6" s="40"/>
    </row>
    <row r="7" spans="1:3" ht="15.75">
      <c r="A7" s="58" t="s">
        <v>116</v>
      </c>
      <c r="B7" s="40"/>
      <c r="C7" s="40"/>
    </row>
    <row r="8" spans="1:8" ht="15.75">
      <c r="A8" s="19" t="s">
        <v>32</v>
      </c>
      <c r="B8" s="7"/>
      <c r="C8" s="7"/>
      <c r="D8" s="7"/>
      <c r="E8" s="7"/>
      <c r="F8" s="7"/>
      <c r="G8" s="7"/>
      <c r="H8" s="7"/>
    </row>
    <row r="9" spans="1:8" ht="15.75">
      <c r="A9" s="57"/>
      <c r="B9" s="55"/>
      <c r="C9" s="55" t="s">
        <v>110</v>
      </c>
      <c r="D9" s="55" t="s">
        <v>112</v>
      </c>
      <c r="E9" s="55"/>
      <c r="F9" s="55"/>
      <c r="G9" s="55"/>
      <c r="H9" s="55"/>
    </row>
    <row r="10" spans="1:8" ht="15">
      <c r="A10" s="2"/>
      <c r="B10" s="55" t="s">
        <v>23</v>
      </c>
      <c r="C10" s="55" t="s">
        <v>24</v>
      </c>
      <c r="D10" s="8" t="s">
        <v>38</v>
      </c>
      <c r="E10" s="8"/>
      <c r="F10" s="8"/>
      <c r="G10" s="8"/>
      <c r="H10" s="8"/>
    </row>
    <row r="11" spans="1:8" ht="15">
      <c r="A11" t="s">
        <v>111</v>
      </c>
      <c r="B11" s="42">
        <v>32</v>
      </c>
      <c r="C11" s="42">
        <v>107</v>
      </c>
      <c r="D11" s="56" t="s">
        <v>37</v>
      </c>
      <c r="E11" s="8"/>
      <c r="F11" s="8"/>
      <c r="G11" s="8"/>
      <c r="H11" s="8"/>
    </row>
    <row r="12" spans="1:8" ht="15">
      <c r="A12" t="s">
        <v>6</v>
      </c>
      <c r="B12" s="42">
        <v>32</v>
      </c>
      <c r="C12" s="42">
        <v>113</v>
      </c>
      <c r="D12" s="21">
        <f>(C12-B12)*(13.92+0.1612*(C12+B12))/1000</f>
        <v>3.020814</v>
      </c>
      <c r="E12" s="8" t="s">
        <v>39</v>
      </c>
      <c r="F12" s="8"/>
      <c r="G12" s="8"/>
      <c r="H12" s="8"/>
    </row>
    <row r="13" spans="1:4" ht="15">
      <c r="A13" t="s">
        <v>26</v>
      </c>
      <c r="D13" s="41">
        <v>10000</v>
      </c>
    </row>
    <row r="14" spans="1:4" ht="15">
      <c r="A14" t="s">
        <v>7</v>
      </c>
      <c r="D14" s="42">
        <v>2500</v>
      </c>
    </row>
    <row r="15" spans="1:4" ht="15">
      <c r="A15" t="s">
        <v>36</v>
      </c>
      <c r="D15" s="4">
        <f>D14*(C11+B11)/2</f>
        <v>173750</v>
      </c>
    </row>
    <row r="16" spans="1:5" ht="15">
      <c r="A16" t="s">
        <v>35</v>
      </c>
      <c r="D16" s="69">
        <f>D15/(C12+B12)*2</f>
        <v>2396.551724137931</v>
      </c>
      <c r="E16" t="s">
        <v>27</v>
      </c>
    </row>
    <row r="17" spans="1:5" ht="15">
      <c r="A17" t="s">
        <v>34</v>
      </c>
      <c r="D17" s="6">
        <f>350/(C12-B12)*D14</f>
        <v>10802.469135802468</v>
      </c>
      <c r="E17" t="s">
        <v>30</v>
      </c>
    </row>
    <row r="19" ht="15">
      <c r="A19" s="5" t="s">
        <v>25</v>
      </c>
    </row>
    <row r="20" spans="1:8" ht="15">
      <c r="A20" s="13"/>
      <c r="B20" s="12" t="s">
        <v>20</v>
      </c>
      <c r="C20" s="12" t="s">
        <v>19</v>
      </c>
      <c r="D20" s="12" t="s">
        <v>22</v>
      </c>
      <c r="E20" s="9" t="s">
        <v>33</v>
      </c>
      <c r="F20" s="8"/>
      <c r="G20" s="8"/>
      <c r="H20" s="8"/>
    </row>
    <row r="21" spans="1:8" ht="15">
      <c r="A21" s="13"/>
      <c r="B21" s="12" t="s">
        <v>1</v>
      </c>
      <c r="C21" s="12" t="s">
        <v>13</v>
      </c>
      <c r="D21" s="12" t="s">
        <v>2</v>
      </c>
      <c r="E21" s="45" t="s">
        <v>91</v>
      </c>
      <c r="F21" s="8"/>
      <c r="G21" s="11"/>
      <c r="H21" s="8"/>
    </row>
    <row r="22" spans="1:8" ht="15">
      <c r="A22" s="14" t="s">
        <v>8</v>
      </c>
      <c r="B22" s="12" t="s">
        <v>3</v>
      </c>
      <c r="C22" s="12" t="s">
        <v>3</v>
      </c>
      <c r="D22" s="12" t="s">
        <v>4</v>
      </c>
      <c r="E22" s="8" t="s">
        <v>0</v>
      </c>
      <c r="F22" s="8"/>
      <c r="G22" s="42">
        <v>0</v>
      </c>
      <c r="H22" s="8"/>
    </row>
    <row r="23" spans="1:8" ht="15">
      <c r="A23" s="10" t="s">
        <v>28</v>
      </c>
      <c r="B23" s="15">
        <f>($C$11-$B$11)*(15.42+0.2072*($C$11+$B$11))/1000</f>
        <v>3.31656</v>
      </c>
      <c r="C23" s="17">
        <f>B23*$D$13</f>
        <v>33165.6</v>
      </c>
      <c r="D23" s="6">
        <f>C23/$D$12</f>
        <v>10979.027507155355</v>
      </c>
      <c r="E23" s="8" t="s">
        <v>113</v>
      </c>
      <c r="F23" s="8"/>
      <c r="G23" s="42">
        <v>2.87</v>
      </c>
      <c r="H23" s="8"/>
    </row>
    <row r="24" spans="1:8" ht="15">
      <c r="A24" s="10" t="s">
        <v>29</v>
      </c>
      <c r="B24" s="15">
        <f>($C$11-$B$11)*(13.23+0.1872*($C$11+$B$11))/1000</f>
        <v>2.94381</v>
      </c>
      <c r="C24" s="17">
        <f aca="true" t="shared" si="0" ref="C24:C29">B24*$D$13</f>
        <v>29438.100000000002</v>
      </c>
      <c r="D24" s="6">
        <f aca="true" t="shared" si="1" ref="D24:D29">C24/$D$12</f>
        <v>9745.088575463435</v>
      </c>
      <c r="E24" s="8" t="s">
        <v>14</v>
      </c>
      <c r="F24" s="8"/>
      <c r="G24" s="16" t="str">
        <f>IF(G22=0,"ingen vilkår",((C11-B11)*G23*G22/6250)-(C11-B11)*0.0296)</f>
        <v>ingen vilkår</v>
      </c>
      <c r="H24" s="8" t="s">
        <v>104</v>
      </c>
    </row>
    <row r="25" spans="1:8" ht="15">
      <c r="A25" s="10" t="s">
        <v>9</v>
      </c>
      <c r="B25" s="15">
        <f>($C$11-$B$11)*(12.77+0.1789*($C$11+$B$11))/1000</f>
        <v>2.8227825</v>
      </c>
      <c r="C25" s="17">
        <f t="shared" si="0"/>
        <v>28227.825</v>
      </c>
      <c r="D25" s="6">
        <f t="shared" si="1"/>
        <v>9344.44325271268</v>
      </c>
      <c r="E25" s="8" t="s">
        <v>15</v>
      </c>
      <c r="F25" s="8"/>
      <c r="G25" s="11" t="str">
        <f>IF(G22=0,"ingen vilkår",G24*D13)</f>
        <v>ingen vilkår</v>
      </c>
      <c r="H25" s="8" t="s">
        <v>105</v>
      </c>
    </row>
    <row r="26" spans="1:8" ht="15">
      <c r="A26" s="10" t="s">
        <v>10</v>
      </c>
      <c r="B26" s="15">
        <f>($C$11-$B$11)*(13.01+0.177*($C$11+$B$11))/1000</f>
        <v>2.820975</v>
      </c>
      <c r="C26" s="17">
        <f t="shared" si="0"/>
        <v>28209.749999999996</v>
      </c>
      <c r="D26" s="6">
        <f t="shared" si="1"/>
        <v>9338.459766142501</v>
      </c>
      <c r="E26" s="8"/>
      <c r="F26" s="8"/>
      <c r="G26" s="11"/>
      <c r="H26" s="8"/>
    </row>
    <row r="27" spans="1:8" ht="15">
      <c r="A27" s="10" t="s">
        <v>21</v>
      </c>
      <c r="B27" s="15">
        <f>($C$11-$B$11)*(13.77+0.1733*($C$11+$B$11))/1000</f>
        <v>2.8394025000000003</v>
      </c>
      <c r="C27" s="17">
        <f t="shared" si="0"/>
        <v>28394.025</v>
      </c>
      <c r="D27" s="6">
        <f t="shared" si="1"/>
        <v>9399.461535864175</v>
      </c>
      <c r="E27" s="8" t="s">
        <v>16</v>
      </c>
      <c r="F27" s="8"/>
      <c r="G27" s="6" t="str">
        <f>IF(G22=0,"ingen vilkår",G25/D12)</f>
        <v>ingen vilkår</v>
      </c>
      <c r="H27" s="8" t="s">
        <v>107</v>
      </c>
    </row>
    <row r="28" spans="1:8" ht="15">
      <c r="A28" s="10" t="s">
        <v>11</v>
      </c>
      <c r="B28" s="15">
        <f>($C$11-$B$11)*(13.777+0.1731*($C$11+$B$11))/1000</f>
        <v>2.8378425</v>
      </c>
      <c r="C28" s="17">
        <f t="shared" si="0"/>
        <v>28378.425</v>
      </c>
      <c r="D28" s="6">
        <f t="shared" si="1"/>
        <v>9394.297364882445</v>
      </c>
      <c r="E28" s="8" t="s">
        <v>17</v>
      </c>
      <c r="F28" s="20">
        <f>B12</f>
        <v>32</v>
      </c>
      <c r="G28" s="8" t="s">
        <v>18</v>
      </c>
      <c r="H28" s="20">
        <f>C12</f>
        <v>113</v>
      </c>
    </row>
    <row r="29" spans="1:8" ht="15">
      <c r="A29" s="10" t="s">
        <v>12</v>
      </c>
      <c r="B29" s="15">
        <f>($C$11-$B$11)*(13.39+0.168*($C$11+$B$11))/1000</f>
        <v>2.7556500000000006</v>
      </c>
      <c r="C29" s="17">
        <f t="shared" si="0"/>
        <v>27556.500000000007</v>
      </c>
      <c r="D29" s="6">
        <f t="shared" si="1"/>
        <v>9122.210106282613</v>
      </c>
      <c r="E29" s="8"/>
      <c r="F29" s="8"/>
      <c r="G29" s="8"/>
      <c r="H29" s="8"/>
    </row>
    <row r="30" ht="15">
      <c r="A30" s="2" t="s">
        <v>118</v>
      </c>
    </row>
    <row r="31" ht="15">
      <c r="A31" s="2" t="s">
        <v>117</v>
      </c>
    </row>
  </sheetData>
  <sheetProtection password="DE48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0">
      <selection activeCell="H30" sqref="H30"/>
    </sheetView>
  </sheetViews>
  <sheetFormatPr defaultColWidth="9.140625" defaultRowHeight="15"/>
  <sheetData>
    <row r="1" ht="18.75">
      <c r="A1" s="24" t="s">
        <v>89</v>
      </c>
    </row>
    <row r="2" ht="15">
      <c r="A2" t="s">
        <v>40</v>
      </c>
    </row>
    <row r="3" ht="15">
      <c r="A3" t="s">
        <v>90</v>
      </c>
    </row>
    <row r="4" ht="15">
      <c r="A4" t="s">
        <v>41</v>
      </c>
    </row>
    <row r="5" ht="15">
      <c r="A5" t="s">
        <v>42</v>
      </c>
    </row>
    <row r="7" ht="15">
      <c r="A7" t="s">
        <v>43</v>
      </c>
    </row>
    <row r="8" ht="15">
      <c r="A8" t="s">
        <v>93</v>
      </c>
    </row>
    <row r="10" ht="15">
      <c r="A10" t="s">
        <v>44</v>
      </c>
    </row>
    <row r="11" ht="15">
      <c r="A11" t="s">
        <v>85</v>
      </c>
    </row>
    <row r="12" ht="15">
      <c r="A12" t="s">
        <v>45</v>
      </c>
    </row>
    <row r="13" ht="15">
      <c r="A13" t="s">
        <v>46</v>
      </c>
    </row>
    <row r="14" ht="15">
      <c r="A14" t="s">
        <v>47</v>
      </c>
    </row>
    <row r="16" ht="15">
      <c r="A16" s="5" t="s">
        <v>72</v>
      </c>
    </row>
    <row r="18" ht="15">
      <c r="A18" t="s">
        <v>73</v>
      </c>
    </row>
    <row r="19" spans="1:4" ht="15">
      <c r="A19" t="s">
        <v>74</v>
      </c>
      <c r="D19" t="s">
        <v>77</v>
      </c>
    </row>
    <row r="20" spans="1:4" ht="15">
      <c r="A20" t="s">
        <v>75</v>
      </c>
      <c r="D20" t="s">
        <v>76</v>
      </c>
    </row>
    <row r="21" ht="15">
      <c r="A21" t="s">
        <v>78</v>
      </c>
    </row>
    <row r="22" ht="15">
      <c r="A22" t="s">
        <v>79</v>
      </c>
    </row>
    <row r="23" ht="15">
      <c r="A23" t="s">
        <v>86</v>
      </c>
    </row>
    <row r="24" ht="15">
      <c r="A24" t="s">
        <v>80</v>
      </c>
    </row>
    <row r="25" ht="15">
      <c r="A25" t="s">
        <v>81</v>
      </c>
    </row>
    <row r="26" ht="15">
      <c r="A26" t="s">
        <v>92</v>
      </c>
    </row>
    <row r="27" ht="15">
      <c r="A27" t="s">
        <v>82</v>
      </c>
    </row>
    <row r="28" ht="15">
      <c r="A28" t="s">
        <v>83</v>
      </c>
    </row>
    <row r="29" ht="15">
      <c r="A29" t="s">
        <v>84</v>
      </c>
    </row>
    <row r="30" ht="15">
      <c r="A30" t="s">
        <v>87</v>
      </c>
    </row>
    <row r="31" ht="15">
      <c r="A31" t="s">
        <v>88</v>
      </c>
    </row>
    <row r="32" ht="15">
      <c r="A32" t="s">
        <v>95</v>
      </c>
    </row>
    <row r="33" ht="15">
      <c r="A33" t="s">
        <v>94</v>
      </c>
    </row>
  </sheetData>
  <sheetProtection password="DE48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11.57421875" style="0" customWidth="1"/>
    <col min="2" max="2" width="12.28125" style="0" customWidth="1"/>
    <col min="3" max="3" width="11.00390625" style="0" customWidth="1"/>
    <col min="4" max="4" width="12.28125" style="0" customWidth="1"/>
    <col min="6" max="6" width="9.7109375" style="0" customWidth="1"/>
    <col min="8" max="8" width="10.28125" style="0" customWidth="1"/>
    <col min="10" max="10" width="9.7109375" style="0" customWidth="1"/>
    <col min="11" max="11" width="10.57421875" style="0" customWidth="1"/>
  </cols>
  <sheetData>
    <row r="1" ht="23.25">
      <c r="A1" s="25" t="s">
        <v>66</v>
      </c>
    </row>
    <row r="2" ht="15.75">
      <c r="A2" s="3" t="s">
        <v>103</v>
      </c>
    </row>
    <row r="3" spans="1:12" ht="15.75">
      <c r="A3" s="28" t="s">
        <v>101</v>
      </c>
      <c r="B3" s="29"/>
      <c r="C3" s="29"/>
      <c r="L3" s="28"/>
    </row>
    <row r="4" spans="1:12" ht="15.75">
      <c r="A4" s="28" t="s">
        <v>69</v>
      </c>
      <c r="B4" s="29"/>
      <c r="C4" s="29"/>
      <c r="L4" s="28"/>
    </row>
    <row r="5" spans="1:3" ht="15.75">
      <c r="A5" s="28" t="s">
        <v>102</v>
      </c>
      <c r="B5" s="29"/>
      <c r="C5" s="29"/>
    </row>
    <row r="6" spans="1:11" ht="15.75">
      <c r="A6" s="30" t="s">
        <v>119</v>
      </c>
      <c r="B6" s="31"/>
      <c r="C6" s="62"/>
      <c r="D6" s="7"/>
      <c r="E6" s="7"/>
      <c r="F6" s="7"/>
      <c r="G6" s="7"/>
      <c r="H6" s="7"/>
      <c r="I6" s="7"/>
      <c r="J6" s="7"/>
      <c r="K6" s="7"/>
    </row>
    <row r="7" spans="1:11" ht="15.75">
      <c r="A7" s="59" t="s">
        <v>115</v>
      </c>
      <c r="B7" s="60"/>
      <c r="C7" s="61" t="s">
        <v>123</v>
      </c>
      <c r="D7" s="40"/>
      <c r="E7" s="40"/>
      <c r="F7" s="40"/>
      <c r="G7" s="40"/>
      <c r="H7" s="40"/>
      <c r="I7" s="40"/>
      <c r="J7" s="40"/>
      <c r="K7" s="40"/>
    </row>
    <row r="8" spans="1:11" ht="15">
      <c r="A8" s="33" t="s">
        <v>48</v>
      </c>
      <c r="B8" s="26"/>
      <c r="C8" s="26"/>
      <c r="D8" s="26"/>
      <c r="F8" s="26" t="s">
        <v>53</v>
      </c>
      <c r="G8" s="26"/>
      <c r="H8" s="26"/>
      <c r="I8" s="26" t="s">
        <v>68</v>
      </c>
      <c r="J8" s="26"/>
      <c r="K8" s="26"/>
    </row>
    <row r="9" spans="1:11" ht="15">
      <c r="A9" s="22"/>
      <c r="B9" s="34" t="s">
        <v>121</v>
      </c>
      <c r="C9" s="34" t="s">
        <v>120</v>
      </c>
      <c r="D9" s="34" t="s">
        <v>61</v>
      </c>
      <c r="F9" s="9" t="s">
        <v>54</v>
      </c>
      <c r="G9" s="32" t="s">
        <v>51</v>
      </c>
      <c r="H9" s="9" t="s">
        <v>52</v>
      </c>
      <c r="I9" s="36" t="s">
        <v>54</v>
      </c>
      <c r="J9" s="27" t="s">
        <v>51</v>
      </c>
      <c r="K9" s="10" t="s">
        <v>52</v>
      </c>
    </row>
    <row r="10" spans="1:11" ht="15">
      <c r="A10" s="22" t="s">
        <v>50</v>
      </c>
      <c r="B10" s="43">
        <v>32</v>
      </c>
      <c r="C10" s="42">
        <v>6.8</v>
      </c>
      <c r="D10" s="43">
        <v>500</v>
      </c>
      <c r="F10" s="49">
        <f>1/4.3+$B$10*($C$10-7.2)/4000</f>
        <v>0.2293581395348837</v>
      </c>
      <c r="G10" s="50">
        <f>1/4.3+$B$10*($C$10-7.3)/4940</f>
        <v>0.2293192731381226</v>
      </c>
      <c r="H10" s="49">
        <f>1/4.4+$B$10*($C$10-7.2)/5167</f>
        <v>0.22479546774108414</v>
      </c>
      <c r="I10" s="51">
        <f aca="true" t="shared" si="0" ref="I10:J13">F10*$D10</f>
        <v>114.67906976744186</v>
      </c>
      <c r="J10" s="52">
        <f t="shared" si="0"/>
        <v>114.65963656906129</v>
      </c>
      <c r="K10" s="51">
        <f>H10*$D10</f>
        <v>112.39773387054207</v>
      </c>
    </row>
    <row r="11" spans="1:11" ht="15">
      <c r="A11" s="22"/>
      <c r="B11" s="22" t="s">
        <v>71</v>
      </c>
      <c r="C11" s="22" t="s">
        <v>24</v>
      </c>
      <c r="D11" s="23" t="s">
        <v>62</v>
      </c>
      <c r="F11" s="49"/>
      <c r="G11" s="50"/>
      <c r="H11" s="49"/>
      <c r="I11" s="51"/>
      <c r="J11" s="52"/>
      <c r="K11" s="51"/>
    </row>
    <row r="12" spans="1:11" ht="15">
      <c r="A12" s="22" t="s">
        <v>70</v>
      </c>
      <c r="B12" s="42">
        <v>7.3</v>
      </c>
      <c r="C12" s="43">
        <v>32</v>
      </c>
      <c r="D12" s="46">
        <v>15000</v>
      </c>
      <c r="F12" s="11">
        <f>($C$12-$B$12)/4000</f>
        <v>0.006175</v>
      </c>
      <c r="G12" s="53">
        <f>($C$12-$B$12)/4940</f>
        <v>0.005</v>
      </c>
      <c r="H12" s="11">
        <f>($C$12-$B$12)/5167</f>
        <v>0.004780336752467583</v>
      </c>
      <c r="I12" s="51">
        <f t="shared" si="0"/>
        <v>92.625</v>
      </c>
      <c r="J12" s="52">
        <f t="shared" si="0"/>
        <v>75</v>
      </c>
      <c r="K12" s="51">
        <f>H12*$D12</f>
        <v>71.70505128701375</v>
      </c>
    </row>
    <row r="13" spans="1:11" ht="15">
      <c r="A13" s="22" t="s">
        <v>49</v>
      </c>
      <c r="B13" s="43">
        <v>30</v>
      </c>
      <c r="C13" s="43">
        <v>110</v>
      </c>
      <c r="D13" s="42">
        <v>5000</v>
      </c>
      <c r="F13" s="49">
        <f>(40-$B$13)/4000+(87-40)/2500+($C$13-87)/2000</f>
        <v>0.032799999999999996</v>
      </c>
      <c r="G13" s="50">
        <f>(40-$B$13)/4940+(87-40)/2910+($C$13-87)/2000</f>
        <v>0.029675494247116605</v>
      </c>
      <c r="H13" s="49">
        <f>(40-$B$13)/5167+(87-40)/3088+($C$13-87)/2254</f>
        <v>0.02735964789563526</v>
      </c>
      <c r="I13" s="51">
        <f t="shared" si="0"/>
        <v>163.99999999999997</v>
      </c>
      <c r="J13" s="52">
        <f t="shared" si="0"/>
        <v>148.37747123558302</v>
      </c>
      <c r="K13" s="51">
        <f>H13*$D13</f>
        <v>136.7982394781763</v>
      </c>
    </row>
    <row r="14" spans="1:11" ht="15">
      <c r="A14" s="14" t="s">
        <v>99</v>
      </c>
      <c r="B14" s="47"/>
      <c r="C14" s="47"/>
      <c r="D14" s="47"/>
      <c r="F14" s="54">
        <f>1/35+(30-B13)/4000+(C13-102)/2000</f>
        <v>0.03257142857142857</v>
      </c>
      <c r="G14" s="50"/>
      <c r="H14" s="49"/>
      <c r="I14" s="51">
        <f>D13*F14</f>
        <v>162.85714285714286</v>
      </c>
      <c r="J14" s="52"/>
      <c r="K14" s="51"/>
    </row>
    <row r="15" spans="1:11" ht="15">
      <c r="A15" s="44" t="s">
        <v>109</v>
      </c>
      <c r="B15" s="44"/>
      <c r="C15" s="44"/>
      <c r="D15" s="44"/>
      <c r="E15" s="10"/>
      <c r="F15" s="10"/>
      <c r="G15" s="10"/>
      <c r="H15" s="10"/>
      <c r="I15" s="10"/>
      <c r="J15" s="10"/>
      <c r="K15" s="10"/>
    </row>
    <row r="16" spans="1:6" ht="15">
      <c r="A16" s="5" t="s">
        <v>67</v>
      </c>
      <c r="F16" s="5" t="s">
        <v>63</v>
      </c>
    </row>
    <row r="17" spans="1:11" ht="15">
      <c r="A17" s="35" t="s">
        <v>55</v>
      </c>
      <c r="B17" s="35"/>
      <c r="C17" s="35"/>
      <c r="D17" s="35"/>
      <c r="E17" s="35"/>
      <c r="F17" s="65">
        <f>1000*F10*0.5/F12</f>
        <v>18571.509274079654</v>
      </c>
      <c r="G17" s="37">
        <f>1000*G10*0.5/G12</f>
        <v>22931.92731381226</v>
      </c>
      <c r="H17" s="65">
        <f>1000*H10*0.5/H12</f>
        <v>23512.513801987487</v>
      </c>
      <c r="I17" s="35" t="s">
        <v>64</v>
      </c>
      <c r="J17" s="35"/>
      <c r="K17" s="35"/>
    </row>
    <row r="18" spans="1:11" ht="15">
      <c r="A18" s="35" t="s">
        <v>56</v>
      </c>
      <c r="B18" s="35"/>
      <c r="C18" s="35"/>
      <c r="D18" s="35"/>
      <c r="E18" s="35"/>
      <c r="F18" s="65">
        <f>1000*F10*0.5/F13</f>
        <v>3496.3131026659107</v>
      </c>
      <c r="G18" s="37">
        <f>1000*G10*0.5/G13</f>
        <v>3863.7818670939946</v>
      </c>
      <c r="H18" s="65">
        <f>1000*H10*0.5/H13</f>
        <v>4108.157177288568</v>
      </c>
      <c r="I18" s="35" t="s">
        <v>64</v>
      </c>
      <c r="J18" s="35"/>
      <c r="K18" s="35"/>
    </row>
    <row r="19" spans="6:8" ht="15">
      <c r="F19" s="68"/>
      <c r="G19" s="68"/>
      <c r="H19" s="68"/>
    </row>
    <row r="20" spans="1:11" ht="15">
      <c r="A20" s="35" t="s">
        <v>57</v>
      </c>
      <c r="B20" s="35"/>
      <c r="C20" s="35"/>
      <c r="D20" s="35"/>
      <c r="E20" s="35"/>
      <c r="F20" s="65">
        <f>1000*F13*0.7/F12</f>
        <v>3718.218623481781</v>
      </c>
      <c r="G20" s="37">
        <f>1000*G13*0.7/G12</f>
        <v>4154.569194596324</v>
      </c>
      <c r="H20" s="65">
        <f>1000*H13*0.7/H12</f>
        <v>4006.360747924015</v>
      </c>
      <c r="I20" s="35" t="s">
        <v>65</v>
      </c>
      <c r="J20" s="35"/>
      <c r="K20" s="35"/>
    </row>
    <row r="21" spans="1:11" ht="15">
      <c r="A21" s="35" t="s">
        <v>58</v>
      </c>
      <c r="B21" s="35"/>
      <c r="C21" s="35"/>
      <c r="D21" s="35"/>
      <c r="E21" s="35"/>
      <c r="F21" s="66">
        <f>1000*F13*0.5/F10</f>
        <v>71.50389357560026</v>
      </c>
      <c r="G21" s="39">
        <f>1000*G13*0.5/G10</f>
        <v>64.70344563939594</v>
      </c>
      <c r="H21" s="66">
        <f>1000*H13*0.5/H10</f>
        <v>60.854536282616856</v>
      </c>
      <c r="I21" s="35" t="s">
        <v>64</v>
      </c>
      <c r="J21" s="35"/>
      <c r="K21" s="35"/>
    </row>
    <row r="22" spans="6:8" ht="15">
      <c r="F22" s="68"/>
      <c r="G22" s="68"/>
      <c r="H22" s="68"/>
    </row>
    <row r="23" spans="1:11" ht="15">
      <c r="A23" s="35" t="s">
        <v>59</v>
      </c>
      <c r="B23" s="35"/>
      <c r="C23" s="35"/>
      <c r="D23" s="35"/>
      <c r="E23" s="35"/>
      <c r="F23" s="67">
        <f>1000*F12*0.5/F10</f>
        <v>13.461479964308891</v>
      </c>
      <c r="G23" s="38">
        <f>1000*G12*0.5/G10</f>
        <v>10.901831170964034</v>
      </c>
      <c r="H23" s="67">
        <f>1000*H12*0.5/H10</f>
        <v>10.63263597016444</v>
      </c>
      <c r="I23" s="35" t="s">
        <v>64</v>
      </c>
      <c r="J23" s="35"/>
      <c r="K23" s="35"/>
    </row>
    <row r="24" spans="1:11" ht="15">
      <c r="A24" s="35" t="s">
        <v>60</v>
      </c>
      <c r="B24" s="35"/>
      <c r="C24" s="35"/>
      <c r="D24" s="35"/>
      <c r="E24" s="35"/>
      <c r="F24" s="66">
        <f>1000*F12*0.5/F13</f>
        <v>94.13109756097562</v>
      </c>
      <c r="G24" s="39">
        <f>1000*G12*0.5/G13</f>
        <v>84.24459519298185</v>
      </c>
      <c r="H24" s="66">
        <f>1000*H12*0.5/H13</f>
        <v>87.36107954865528</v>
      </c>
      <c r="I24" s="35" t="s">
        <v>64</v>
      </c>
      <c r="J24" s="35"/>
      <c r="K24" s="35"/>
    </row>
    <row r="25" spans="1:11" ht="15">
      <c r="A25" s="13" t="s">
        <v>98</v>
      </c>
      <c r="B25" s="14"/>
      <c r="C25" s="14"/>
      <c r="D25" s="14"/>
      <c r="E25" s="14"/>
      <c r="F25" s="48"/>
      <c r="G25" s="48"/>
      <c r="H25" s="48"/>
      <c r="I25" s="14"/>
      <c r="J25" s="14"/>
      <c r="K25" s="14"/>
    </row>
    <row r="26" spans="1:11" ht="15">
      <c r="A26" s="10" t="s">
        <v>97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5">
      <c r="A27" s="10" t="s">
        <v>100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9" spans="1:7" ht="15">
      <c r="A29" s="8" t="s">
        <v>57</v>
      </c>
      <c r="B29" s="8"/>
      <c r="C29" s="8"/>
      <c r="D29" s="8"/>
      <c r="E29" s="8"/>
      <c r="F29" s="63">
        <f>1000*F14/F12*0.7</f>
        <v>3692.3076923076915</v>
      </c>
      <c r="G29" t="s">
        <v>96</v>
      </c>
    </row>
    <row r="30" spans="1:7" ht="15">
      <c r="A30" s="8" t="s">
        <v>58</v>
      </c>
      <c r="B30" s="8"/>
      <c r="C30" s="8"/>
      <c r="D30" s="8"/>
      <c r="E30" s="8"/>
      <c r="F30" s="64">
        <f>1000*F14/F10*0.5</f>
        <v>71.00560860294799</v>
      </c>
      <c r="G30" t="s">
        <v>108</v>
      </c>
    </row>
  </sheetData>
  <sheetProtection password="DE48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 Landbrugsrådgivning, Landscentret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anmeldeordning, miljø</dc:subject>
  <dc:creator>Per Tybirk</dc:creator>
  <cp:keywords/>
  <dc:description/>
  <cp:lastModifiedBy>Dorthe Sigrúnsdóttir Jensen</cp:lastModifiedBy>
  <cp:lastPrinted>2017-08-30T11:51:41Z</cp:lastPrinted>
  <dcterms:created xsi:type="dcterms:W3CDTF">2010-10-15T07:29:17Z</dcterms:created>
  <dcterms:modified xsi:type="dcterms:W3CDTF">2017-09-19T12:23:12Z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0x01010039AECF0C0DF042669F1227F4A133879E0100C463F228579D7B40BC7AC9090504053D</vt:lpwstr>
  </property>
  <property fmtid="{D5CDD505-2E9C-101B-9397-08002B2CF9AE}" pid="3" name="DocuWise.Language">
    <vt:lpwstr/>
  </property>
  <property fmtid="{D5CDD505-2E9C-101B-9397-08002B2CF9AE}" pid="4" name="DocuWise.Project">
    <vt:lpwstr/>
  </property>
  <property fmtid="{D5CDD505-2E9C-101B-9397-08002B2CF9AE}" pid="5" name="Docuwise.Type">
    <vt:lpwstr/>
  </property>
  <property fmtid="{D5CDD505-2E9C-101B-9397-08002B2CF9AE}" pid="6" name="Docuwise.Person">
    <vt:lpwstr>per tybirk</vt:lpwstr>
  </property>
  <property fmtid="{D5CDD505-2E9C-101B-9397-08002B2CF9AE}" pid="7" name="Docuwise.PersonText">
    <vt:lpwstr/>
  </property>
  <property fmtid="{D5CDD505-2E9C-101B-9397-08002B2CF9AE}" pid="8" name="Docuwise.Received">
    <vt:lpwstr>0</vt:lpwstr>
  </property>
  <property fmtid="{D5CDD505-2E9C-101B-9397-08002B2CF9AE}" pid="9" name="Docuwise.Ended">
    <vt:lpwstr>0</vt:lpwstr>
  </property>
  <property fmtid="{D5CDD505-2E9C-101B-9397-08002B2CF9AE}" pid="10" name="Docuwise.Legacy.Department">
    <vt:lpwstr/>
  </property>
  <property fmtid="{D5CDD505-2E9C-101B-9397-08002B2CF9AE}" pid="11" name="Docuwise.CompanyText">
    <vt:lpwstr/>
  </property>
  <property fmtid="{D5CDD505-2E9C-101B-9397-08002B2CF9AE}" pid="12" name="Docuwise.Legacy.CreatedByEmail">
    <vt:lpwstr>pet@seges.dk</vt:lpwstr>
  </property>
  <property fmtid="{D5CDD505-2E9C-101B-9397-08002B2CF9AE}" pid="13" name="DocuWise.Number">
    <vt:lpwstr/>
  </property>
  <property fmtid="{D5CDD505-2E9C-101B-9397-08002B2CF9AE}" pid="14" name="DocuWise.CaseWorker">
    <vt:lpwstr>334;#Per Tybirk</vt:lpwstr>
  </property>
  <property fmtid="{D5CDD505-2E9C-101B-9397-08002B2CF9AE}" pid="15" name="Docuwise.Legacy.CaseWorkerEmail">
    <vt:lpwstr>pet@seges.dk</vt:lpwstr>
  </property>
  <property fmtid="{D5CDD505-2E9C-101B-9397-08002B2CF9AE}" pid="16" name="DocuWise.CHRNumber">
    <vt:lpwstr/>
  </property>
  <property fmtid="{D5CDD505-2E9C-101B-9397-08002B2CF9AE}" pid="17" name="Docuwise.Legacy.CreatedByName">
    <vt:lpwstr/>
  </property>
  <property fmtid="{D5CDD505-2E9C-101B-9397-08002B2CF9AE}" pid="18" name="Docuwise.Legacy.CaseWorkerName">
    <vt:lpwstr>Per Tybirk</vt:lpwstr>
  </property>
  <property fmtid="{D5CDD505-2E9C-101B-9397-08002B2CF9AE}" pid="19" name="DocuWise.TestNumber">
    <vt:lpwstr/>
  </property>
  <property fmtid="{D5CDD505-2E9C-101B-9397-08002B2CF9AE}" pid="20" name="Docuwise.Company">
    <vt:lpwstr/>
  </property>
  <property fmtid="{D5CDD505-2E9C-101B-9397-08002B2CF9AE}" pid="21" name="DocuWise.JobDescription">
    <vt:lpwstr/>
  </property>
  <property fmtid="{D5CDD505-2E9C-101B-9397-08002B2CF9AE}" pid="22" name="_dlc_DocId">
    <vt:lpwstr>LFID-25-80224</vt:lpwstr>
  </property>
  <property fmtid="{D5CDD505-2E9C-101B-9397-08002B2CF9AE}" pid="23" name="_dlc_DocIdItemGuid">
    <vt:lpwstr>9a01da1f-2cd5-48aa-9a72-7b6468b72288</vt:lpwstr>
  </property>
  <property fmtid="{D5CDD505-2E9C-101B-9397-08002B2CF9AE}" pid="24" name="_dlc_DocIdUrl">
    <vt:lpwstr>http://lf-dokumenter/vsp/vspaktivteter/_layouts/DocIdRedir.aspx?ID=LFID-25-80224, LFID-25-80224</vt:lpwstr>
  </property>
</Properties>
</file>