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§31 skift dyretype 15-16 norm" sheetId="1" r:id="rId1"/>
    <sheet name="§32, godk 2002-ult2006, 1.gang" sheetId="2" r:id="rId2"/>
    <sheet name="§32, godk 2002-ult2006, 2.gang" sheetId="3" r:id="rId3"/>
    <sheet name="§33, godk2007-2011, fald husdyr" sheetId="4" r:id="rId4"/>
    <sheet name="§33, godk. apr-sept 2011" sheetId="5" r:id="rId5"/>
  </sheets>
  <definedNames>
    <definedName name="_xlnm.Print_Area" localSheetId="1">'§32, godk 2002-ult2006, 1.gang'!$A$1:$O$90</definedName>
    <definedName name="_xlnm.Print_Area" localSheetId="2">'§32, godk 2002-ult2006, 2.gang'!$A$1:$O$90</definedName>
    <definedName name="_xlnm.Print_Area" localSheetId="4">'§33, godk. apr-sept 2011'!$A$1:$I$82</definedName>
    <definedName name="_xlnm.Print_Area" localSheetId="3">'§33, godk2007-2011, fald husdyr'!$A$1:$I$82</definedName>
  </definedNames>
  <calcPr fullCalcOnLoad="1"/>
</workbook>
</file>

<file path=xl/sharedStrings.xml><?xml version="1.0" encoding="utf-8"?>
<sst xmlns="http://schemas.openxmlformats.org/spreadsheetml/2006/main" count="969" uniqueCount="397">
  <si>
    <t>Egne tal</t>
  </si>
  <si>
    <t>Fravænningsvægt, kg</t>
  </si>
  <si>
    <t>Råprotein, g/FEso</t>
  </si>
  <si>
    <t>Fosfor, g/FEso</t>
  </si>
  <si>
    <t>FEso pr årsso</t>
  </si>
  <si>
    <t>N ab dyr i alt, kg N</t>
  </si>
  <si>
    <t>Antal producerede smågrise</t>
  </si>
  <si>
    <t>Indgangsvægt, kg</t>
  </si>
  <si>
    <t>Afgangsvægt, kg</t>
  </si>
  <si>
    <t>FEsv pr kg tilvækst</t>
  </si>
  <si>
    <t xml:space="preserve">N ab dyr pr gris </t>
  </si>
  <si>
    <t>Råprotein, g/FEsv</t>
  </si>
  <si>
    <t>Fosfor, g/FEsv</t>
  </si>
  <si>
    <t>P ab dyr, kg pr gris</t>
  </si>
  <si>
    <t>P ab dyr, kg i alt</t>
  </si>
  <si>
    <t>P ab dyr i alt, kg P</t>
  </si>
  <si>
    <t>Antal producerede slagtesvin</t>
  </si>
  <si>
    <t>Antal pr DE, supplerende info</t>
  </si>
  <si>
    <t>Afgangsvægt =slagtevægt x 1,31, kg</t>
  </si>
  <si>
    <t>P ab dyr, kg pr årsso</t>
  </si>
  <si>
    <t>Fravænnede grise pr årsso</t>
  </si>
  <si>
    <t xml:space="preserve">N ab dyr pr årsso, kg </t>
  </si>
  <si>
    <t>Antal årssøer pr DE, suppl.info</t>
  </si>
  <si>
    <t>DE i alt , 2009 definition</t>
  </si>
  <si>
    <t>Smågrise, dvs. max 40 kg</t>
  </si>
  <si>
    <t>Søer med grise til fravænning</t>
  </si>
  <si>
    <t>Slagtet vægt (levende/1,31)</t>
  </si>
  <si>
    <t>Slagtesvins DE-beregning forudsætter indgangsvægt under 40 kg og afgangsvægt over 87 kg (levende)</t>
  </si>
  <si>
    <t>Normtal</t>
  </si>
  <si>
    <t>Godkendt</t>
  </si>
  <si>
    <t>max antal</t>
  </si>
  <si>
    <t>BAT-P</t>
  </si>
  <si>
    <t>pr dyr</t>
  </si>
  <si>
    <t>alene</t>
  </si>
  <si>
    <t>basis N</t>
  </si>
  <si>
    <t>Max P</t>
  </si>
  <si>
    <t>ifølge</t>
  </si>
  <si>
    <t>Både N og P</t>
  </si>
  <si>
    <t>overholdt</t>
  </si>
  <si>
    <t xml:space="preserve">Antal årssøer, </t>
  </si>
  <si>
    <t>Alle gule rubrikker skal udfyldes uanset om der er brugt egne tal</t>
  </si>
  <si>
    <t>P ab lager ifølge normtal, aktuelle staldsystemer, gns.</t>
  </si>
  <si>
    <t xml:space="preserve">N ab dyr pr gris,kg </t>
  </si>
  <si>
    <t>antal</t>
  </si>
  <si>
    <t>N ab dyr, kg</t>
  </si>
  <si>
    <t>P ab lager, kg</t>
  </si>
  <si>
    <t>P ab dyr, kg</t>
  </si>
  <si>
    <t>vægte</t>
  </si>
  <si>
    <t>godkendte</t>
  </si>
  <si>
    <t>anmeldte</t>
  </si>
  <si>
    <t>Dyreenheder</t>
  </si>
  <si>
    <t>Max P, kg</t>
  </si>
  <si>
    <t>kan anmeldes</t>
  </si>
  <si>
    <t>Kan anmeldes</t>
  </si>
  <si>
    <t>P ab lager pr DE, aktuelle stalde, kg:</t>
  </si>
  <si>
    <t>Max antal</t>
  </si>
  <si>
    <t xml:space="preserve"> </t>
  </si>
  <si>
    <t>(Her tastes P ab lager for fare + løbe/dr.-stalde)</t>
  </si>
  <si>
    <t>basis egne tal for fosfor laves en konkret</t>
  </si>
  <si>
    <t>vurdering, jvnf. Vejledning</t>
  </si>
  <si>
    <t>Hvis P ab dyr i alt overstiger godkendelse</t>
  </si>
  <si>
    <t>hvis antal &gt; 0 ved egne tal indgår egne tal i vurderingen, ellers ikke</t>
  </si>
  <si>
    <t>Smågrise</t>
  </si>
  <si>
    <t>vægt ind</t>
  </si>
  <si>
    <t>vægt ud</t>
  </si>
  <si>
    <t>Anmeldt vægtinterval</t>
  </si>
  <si>
    <t>DE tilladt i alt</t>
  </si>
  <si>
    <t>tilladt</t>
  </si>
  <si>
    <t>Antal tilladt i anmeldt vægtinterval</t>
  </si>
  <si>
    <t>Antal</t>
  </si>
  <si>
    <t>pr DE</t>
  </si>
  <si>
    <t>i år</t>
  </si>
  <si>
    <t>i alt</t>
  </si>
  <si>
    <t>DE</t>
  </si>
  <si>
    <t>2002-10</t>
  </si>
  <si>
    <t>&gt;50% fast gulv</t>
  </si>
  <si>
    <t>25-50% fast gulv</t>
  </si>
  <si>
    <t>Delvis fast gulv</t>
  </si>
  <si>
    <t>Drænet gulv</t>
  </si>
  <si>
    <t>Fixerede delvis fast gulv</t>
  </si>
  <si>
    <t>Fixerede fuldspaltegulv</t>
  </si>
  <si>
    <t>N ab dyr</t>
  </si>
  <si>
    <t>N ab lager</t>
  </si>
  <si>
    <t>NH3</t>
  </si>
  <si>
    <t>P ab dyr</t>
  </si>
  <si>
    <t>P ab lager</t>
  </si>
  <si>
    <t>Indg-vægt</t>
  </si>
  <si>
    <t>afg. Vægt</t>
  </si>
  <si>
    <t>prod grise</t>
  </si>
  <si>
    <t>stipladser</t>
  </si>
  <si>
    <t>OU pr stald</t>
  </si>
  <si>
    <t>LE pr stald</t>
  </si>
  <si>
    <t>I alt hele produktion</t>
  </si>
  <si>
    <t>Løbe/dræ.stalde</t>
  </si>
  <si>
    <t>Dage/gris</t>
  </si>
  <si>
    <t>kg</t>
  </si>
  <si>
    <t xml:space="preserve">Smågrise, dvs max 40 kg </t>
  </si>
  <si>
    <t>Slagtesvin, ind før 40 kg og ud efter 87 kg levende</t>
  </si>
  <si>
    <t>Slagtesvin i alt</t>
  </si>
  <si>
    <t>vægt, kg</t>
  </si>
  <si>
    <t>afgangs-</t>
  </si>
  <si>
    <t>grise</t>
  </si>
  <si>
    <t>OU pr</t>
  </si>
  <si>
    <t>1000 kg</t>
  </si>
  <si>
    <t>LE pr</t>
  </si>
  <si>
    <t>Løbe/drægtighesstalde pr årsso</t>
  </si>
  <si>
    <t>Løse dybstrø + spaltegulv</t>
  </si>
  <si>
    <t>Løse dybstrø + fast gulv</t>
  </si>
  <si>
    <t>Løse dybstrøelse</t>
  </si>
  <si>
    <t>Løse delvis fast gulv</t>
  </si>
  <si>
    <t>LE/so</t>
  </si>
  <si>
    <t>For slagtesvin er holddriftsintervallet normalt 12, 13 eller 14 uger, dvs 84, 91 eller 98 dage. Gns. opholdstid er kortere! (lig: (slut-startvægt) / daglig tilv., kg)</t>
  </si>
  <si>
    <t>*For søer vil der ved 28, 31,5 og 35 dages diegivningsperiode være 21%, 22,5% og 24,3% af årssøerne i farestalden - forudsat 5 dage i farestald før faring</t>
  </si>
  <si>
    <t>produc.</t>
  </si>
  <si>
    <t>Smågrise, i alt</t>
  </si>
  <si>
    <t>TIP:Hvis man kender stipladser og holddriftsinterval (dage pr gris), men ikke antal producerede - så gætter man på producerede indtil stipladser passer.</t>
  </si>
  <si>
    <t>OU/so</t>
  </si>
  <si>
    <t>Farestalde</t>
  </si>
  <si>
    <t>Pr årsso i alt:</t>
  </si>
  <si>
    <t>Der indtastes i gule felter</t>
  </si>
  <si>
    <t>Svar = max tilladt i grønne felter</t>
  </si>
  <si>
    <t>Definition af stipladser er ikke helt entydig - er det antal fysiske pladser til rådighed eller gennemsnitlig antal grise på stald? Antal fysiske pladser</t>
  </si>
  <si>
    <t>60 LE/1000 kg</t>
  </si>
  <si>
    <t>220 kg/so</t>
  </si>
  <si>
    <t>FMK</t>
  </si>
  <si>
    <t>NH3-N</t>
  </si>
  <si>
    <t>Max tilladt anmeldt</t>
  </si>
  <si>
    <t>Delvis fast gulv, % af farepladser</t>
  </si>
  <si>
    <t>Drænet gulv, % af farepladser</t>
  </si>
  <si>
    <t>Heraf % i farestalde:</t>
  </si>
  <si>
    <t>% af farestipladser</t>
  </si>
  <si>
    <t>antal søer</t>
  </si>
  <si>
    <t>% af løbe/dr pladser</t>
  </si>
  <si>
    <r>
      <t xml:space="preserve">I alt hele produktion, overskridelser er </t>
    </r>
    <r>
      <rPr>
        <b/>
        <sz val="11"/>
        <color indexed="10"/>
        <rFont val="Calibri"/>
        <family val="2"/>
      </rPr>
      <t>røde</t>
    </r>
  </si>
  <si>
    <t>I alt farestalde (skal være 100%)</t>
  </si>
  <si>
    <t>I alt løbe-dr.stalde(skal være 100%)</t>
  </si>
  <si>
    <t>I alt løbe-dr.stalde, (skal være 100%)</t>
  </si>
  <si>
    <t>uændret antal og vægt medføre færre DE efter</t>
  </si>
  <si>
    <t>Det bemærkes, at der i den oprindelige godkendelse kan være brugt lidt forskellige formler til beregning af DE</t>
  </si>
  <si>
    <t>DE/svin</t>
  </si>
  <si>
    <t>Det foreslås her at bruge de godkendte DE fra den oprindelige godkendelse som basis for beregning</t>
  </si>
  <si>
    <t>af hvor mange svin der må være, når DE skal være uændret.</t>
  </si>
  <si>
    <t>Eksempelvis gav vægtintervallet 30-102 kg 34,7 svin pr DE med de eksakte formler, men der har i flere år</t>
  </si>
  <si>
    <t>været brugt en formel, hvor der korrigeres for afvigelser fra 30-102 kg, hvor udgangspunktet var 35 pr DE for 30-102 kg</t>
  </si>
  <si>
    <t>DE indtil 25 kg</t>
  </si>
  <si>
    <t>DE fra 25 til afgangsvægt</t>
  </si>
  <si>
    <t>afhængig af, om der korrigeres fra et afrundet tal - eller regnes med den oprindelige definition. (36,0 fra 30-100 kg)</t>
  </si>
  <si>
    <t>Supplerende forklaring:</t>
  </si>
  <si>
    <t>uanset normtalsår for godkendelse</t>
  </si>
  <si>
    <t>så bliver det BAT for fosfor</t>
  </si>
  <si>
    <t xml:space="preserve">Dette kan senere ændres, hvis P i senere </t>
  </si>
  <si>
    <t>normtal kommer under BAT</t>
  </si>
  <si>
    <t>max udvidelse basis uændret N ab dyr</t>
  </si>
  <si>
    <t>Princippet er, at der først beregnes</t>
  </si>
  <si>
    <t>hvor meget der må udvides, basis alene N</t>
  </si>
  <si>
    <t>ifølge BAT</t>
  </si>
  <si>
    <t>Herefter reduceres udvidelsen, så produktionen</t>
  </si>
  <si>
    <t>maksimale produktion ud fra N må udlede af fosfor</t>
  </si>
  <si>
    <t>heraf % i drægtighedsstalde :</t>
  </si>
  <si>
    <t>heraf  % i drægtighedsstalde :</t>
  </si>
  <si>
    <t>Årssøer i alt antal:</t>
  </si>
  <si>
    <t>Årssøer i alt antal :</t>
  </si>
  <si>
    <t>definition</t>
  </si>
  <si>
    <t>Individuel opstaldning, fuldspaltegulv</t>
  </si>
  <si>
    <t>Individuel opstaldning, delvis spaltegulv</t>
  </si>
  <si>
    <t>Løse dybstrøelse + spaltegulv</t>
  </si>
  <si>
    <t>Løse dybstrøelse + fast gulv</t>
  </si>
  <si>
    <t>Løse delvis spaltegulv</t>
  </si>
  <si>
    <t>vejledning</t>
  </si>
  <si>
    <t>I gammel FMK-</t>
  </si>
  <si>
    <t>Normtal for ammoniakfordampning</t>
  </si>
  <si>
    <t>er faktisk ikke publiceret. De er her beregnet</t>
  </si>
  <si>
    <t xml:space="preserve">med den beregningsmodel basis TAN, </t>
  </si>
  <si>
    <t>Evt. afvigelser fra husdyrgodkendelse.dk</t>
  </si>
  <si>
    <t>Ammoniakfordampningen afviger fra N ab dyr minus N ab lager</t>
  </si>
  <si>
    <t>pga N i strøelse og afrunding til 2 decimaler i N ab lager</t>
  </si>
  <si>
    <t>kan måske skyldes afrundinger til 2 decimaler</t>
  </si>
  <si>
    <t>som har været anvendt anvendt hidtil, og</t>
  </si>
  <si>
    <t>de er kontrolleret af Aarhus Universitet.</t>
  </si>
  <si>
    <t>i mellemregninger</t>
  </si>
  <si>
    <t>Bemærk</t>
  </si>
  <si>
    <t>ikke krav</t>
  </si>
  <si>
    <t>til max</t>
  </si>
  <si>
    <t>Samme antal dyreenheder, før og efter</t>
  </si>
  <si>
    <t>DE i alt, godkendt skal indtastes, beregnes ikke</t>
  </si>
  <si>
    <t>Bemærkning:</t>
  </si>
  <si>
    <t>med ovenstående metode stiger fosfor ab</t>
  </si>
  <si>
    <t>lager i alt fra bedriften - men begrænses af BAT-</t>
  </si>
  <si>
    <t>reglen.  Uændret fosfor vil normalt kræve,</t>
  </si>
  <si>
    <t>at der indtastes egne tal for fosfor, ifølge</t>
  </si>
  <si>
    <t>de vilkår, som gælder.</t>
  </si>
  <si>
    <t>kan man vælge at indtaste normtalsforudsætninger</t>
  </si>
  <si>
    <t>i rubrikken til egne tal. Det skal være normtalsforud-</t>
  </si>
  <si>
    <t>sætninger gældende på godkendelsestidspunktet.</t>
  </si>
  <si>
    <t xml:space="preserve">Hvis der ikke er vilkår, og man alligevel vil sikre, at </t>
  </si>
  <si>
    <t>fosfor ikke stiger på et uændret udbringningsareal,</t>
  </si>
  <si>
    <t>Herefter beregnes, hvor meget denne</t>
  </si>
  <si>
    <t>P ab lager ifølge normtal</t>
  </si>
  <si>
    <t>Antal pr DE</t>
  </si>
  <si>
    <t>P ab lager pr DE, valgte stalde,kg:</t>
  </si>
  <si>
    <t>Bemærkning for slagtesvin</t>
  </si>
  <si>
    <t>Drænet gulv+spalter</t>
  </si>
  <si>
    <t>indgangs-</t>
  </si>
  <si>
    <t>For nogle gødningstyper er der også denitrifikation af NH3</t>
  </si>
  <si>
    <t>Drænet+fuldspalter, % af stalde</t>
  </si>
  <si>
    <t>Delvis fast gulv, % af stalde</t>
  </si>
  <si>
    <t>Dybstrøelse+spaltegulv, % af stalde</t>
  </si>
  <si>
    <t>Dybstrøelse, % af stalde</t>
  </si>
  <si>
    <t>Fast gulv, fast møg+ ajle, % af stalde</t>
  </si>
  <si>
    <t>i alt stalde</t>
  </si>
  <si>
    <t>skal være 100</t>
  </si>
  <si>
    <t xml:space="preserve">Her bliver P ab dyr regnet om til </t>
  </si>
  <si>
    <t>P ab lager ud fra staldfordeling</t>
  </si>
  <si>
    <t>farestald</t>
  </si>
  <si>
    <t>drægtighedsstald</t>
  </si>
  <si>
    <t>normtal P ab lager</t>
  </si>
  <si>
    <t>P ab lager pr årsso</t>
  </si>
  <si>
    <t>indtastes i celle D19</t>
  </si>
  <si>
    <t>Ind. opstaldning delvis fast gulv</t>
  </si>
  <si>
    <t>Ind. opstaldning, fuldspaltegulv</t>
  </si>
  <si>
    <t>Ind. Opstaldning, fast gulv</t>
  </si>
  <si>
    <t>Friland</t>
  </si>
  <si>
    <t>Beregning af P ab lager, aktuelle stalde, søer. Resultat indtastes ovenfor i celle D19.</t>
  </si>
  <si>
    <t>gns P</t>
  </si>
  <si>
    <t>% af søer</t>
  </si>
  <si>
    <t>i alt, % af søer</t>
  </si>
  <si>
    <t>I alt %  -   og gns for P ab lager</t>
  </si>
  <si>
    <t>P ab lager pr DE, valgte stalde, kg:</t>
  </si>
  <si>
    <t>Smågrise, 7,1-31 kg</t>
  </si>
  <si>
    <t>Slagtesvin, 31-107 kg</t>
  </si>
  <si>
    <t>Beregningen gælder kun, hvis krav til ammoniak og lugt lever op til teksten i §32</t>
  </si>
  <si>
    <t>Kravene til fosforklasser gælder hele harmoniarealet inkl. evt. naboaftaler.</t>
  </si>
  <si>
    <t>Beregning basis nyeste definition:</t>
  </si>
  <si>
    <t>2014+</t>
  </si>
  <si>
    <t>Indgangsvægt</t>
  </si>
  <si>
    <t>Afgangsvægt</t>
  </si>
  <si>
    <t>Nyeste normtal (type 1 korrektionsligning) med årlig justering</t>
  </si>
  <si>
    <t>P pr DE ifølge nyeste normtal</t>
  </si>
  <si>
    <t>P pr ha, ikke fosforklasse, 1,4DE</t>
  </si>
  <si>
    <t>(bruges hvis ingen gødning på P-klasse 1-3)</t>
  </si>
  <si>
    <t>P pr ha, fosforklasse 1</t>
  </si>
  <si>
    <t>P pr ha, fosforklasse 2</t>
  </si>
  <si>
    <t>P pr ha, fosforklasse 3</t>
  </si>
  <si>
    <t>Ha i aktuel</t>
  </si>
  <si>
    <t>% af Ha i</t>
  </si>
  <si>
    <t>% af ha</t>
  </si>
  <si>
    <t>kg P bidrag</t>
  </si>
  <si>
    <t>P-klasse</t>
  </si>
  <si>
    <t>Andel ha, P-klasse 0</t>
  </si>
  <si>
    <t>Andel ha, P klasse 1</t>
  </si>
  <si>
    <t>Andel ha, P klasse 2</t>
  </si>
  <si>
    <t>Andel ha, P-klasse 3</t>
  </si>
  <si>
    <t>gns pr ha</t>
  </si>
  <si>
    <t>Samlet harmoniarealkrav, ha</t>
  </si>
  <si>
    <t>Frivillig indtastning i lysegule felter</t>
  </si>
  <si>
    <t>kan vælge at indtaste procentdel i kolonne</t>
  </si>
  <si>
    <t>C direkte i stedet for antal ha i Kolonne. F</t>
  </si>
  <si>
    <t>Kolonne G kan overføres til C58-C61</t>
  </si>
  <si>
    <t>SUM/Gennemsnit</t>
  </si>
  <si>
    <t xml:space="preserve">Faktisk antal DE </t>
  </si>
  <si>
    <t>Nødvendig harmoniareal, ha</t>
  </si>
  <si>
    <t>Regneark til 1. gangs anmeldelse ifølge $32 for godkendelser basis DE-definition fra 2002</t>
  </si>
  <si>
    <t>Det er tilladt at opgradere ifølge ændret DE-definition fra 2002 definition til 2014 definition for grise over 25 kg</t>
  </si>
  <si>
    <t>Beregningen er opdelt i beregning af størrelse på maksimal produktion og derefter krav til harmoniareal afhængig af fosforklasser</t>
  </si>
  <si>
    <t>Godkendt 2002-2007</t>
  </si>
  <si>
    <t>Beregning af DE pr ha  og harmoniareal ud fra vægtning af fosforklassejord på bedriften</t>
  </si>
  <si>
    <t>Kontrolberegninger af ammoniak, lugt mm kan ske i faneblad for $31, selv om der ikke skiftes dyretype, hvis dette er påkrævet pga. naboer eller følsom natur</t>
  </si>
  <si>
    <t>Smågrise, dvs. afgangsvægt under 40 kg for at beregning er korrekt og over 25 kg for at det er relevant</t>
  </si>
  <si>
    <t>Der er ikke automatisk overførsel, så man</t>
  </si>
  <si>
    <t>Det er tilladt at opgradere den 1. gangs anmeldte produktion  (fra 2002 til 2010 def) til 2014 definition (fra 2010 til 2014 def) for grise over 25 kg</t>
  </si>
  <si>
    <t>Regneark til beregning af udvidelsesmuligheder, anmeldeordning, §33</t>
  </si>
  <si>
    <t>DE pr dyr, 2014 definition</t>
  </si>
  <si>
    <t>P ab dyr,kg pr DE, 2014 definition</t>
  </si>
  <si>
    <t>kan man udvide, bare P er under 30 kg pr ha?</t>
  </si>
  <si>
    <t>vil så kræve mere areal</t>
  </si>
  <si>
    <t>overholder dette fosforloft ved 1,4 DE pr ha eller alternativt.</t>
  </si>
  <si>
    <t>justeres DE pr ha, så der er max 30 kg P pr ha</t>
  </si>
  <si>
    <t>(vil kræve nye arealer, som er godkendt)</t>
  </si>
  <si>
    <t>overholdt og ved 1,4 DE/ha</t>
  </si>
  <si>
    <t>Alternativ krav til DE pr ha for at leve op</t>
  </si>
  <si>
    <t>til 30 kg P pr ha:</t>
  </si>
  <si>
    <t>Ved anmeldelse på :</t>
  </si>
  <si>
    <t>søer</t>
  </si>
  <si>
    <t>DE pr ha</t>
  </si>
  <si>
    <t>Korr. for frav.vægt afvigende fra 7,2 kg</t>
  </si>
  <si>
    <t>Bat kravet er 23,9-25,6 kg pr DE (- / + dybstrøelse)</t>
  </si>
  <si>
    <t>Beregninger gælder uden for for fosforklasser - er der fosforklasse 1 er kravet 1,2 DE/ha og P-klasse 2-3 kræver 1,0 DE/ha</t>
  </si>
  <si>
    <t>P ab dyr, kg pr DE, 2014 definition</t>
  </si>
  <si>
    <t>DE i alt 2014 definition</t>
  </si>
  <si>
    <t>Bat kravet er 29,2-30,6 kg pr DE (- / + dybstrøelse)</t>
  </si>
  <si>
    <t>BAT</t>
  </si>
  <si>
    <t>BAT aktuel staldfordeling</t>
  </si>
  <si>
    <t>Bat kravet er 22,3-23,8 kg pr DE (- / + dybstrøelse)</t>
  </si>
  <si>
    <t>slagtesvin</t>
  </si>
  <si>
    <t>som begrænser udvidelsesmuligheden for søer og slagtesvin</t>
  </si>
  <si>
    <t>Dette kan kræve nye arealer, som</t>
  </si>
  <si>
    <t>evt skal godkendes (§16)</t>
  </si>
  <si>
    <t>Der må ved 1,4 DE pr ha maximalt</t>
  </si>
  <si>
    <t>udvides svarende til den mængde P,</t>
  </si>
  <si>
    <t>Alternativt kan man bruge 30 kg´s regler</t>
  </si>
  <si>
    <t>og nedjustere DE pr ha til 30 kg P pr ha.</t>
  </si>
  <si>
    <t>som vil opstå ved uændret N  - og P ifølge BAT ved denne produktion</t>
  </si>
  <si>
    <t xml:space="preserve">Godkendt </t>
  </si>
  <si>
    <t>FRATS kræver opdeling i smågrise og slagtesvin, men indgangsvægt over ca. 25 kg kan beregnes som slagtesvin.</t>
  </si>
  <si>
    <t>2015.</t>
  </si>
  <si>
    <t>SEGES, VSP</t>
  </si>
  <si>
    <t>Fagligt ansvarlig Per Tybirk, 87405361</t>
  </si>
  <si>
    <t>Bemærk, at hvis der ikke er jord i fosforklasser, så er det de almindelige regler med 1,4 DE/ha</t>
  </si>
  <si>
    <t>Der er 4 mulige måder, at leve op til fosforkrav, hvis der er jord i fosforklasser, nemlig §33, stk 4, 4a, 4b, 4c og 4d.</t>
  </si>
  <si>
    <t>Klasse 0</t>
  </si>
  <si>
    <t>klasse 2</t>
  </si>
  <si>
    <t>klasse 3</t>
  </si>
  <si>
    <t>§33, 4, 4d</t>
  </si>
  <si>
    <t>§33,4,4a</t>
  </si>
  <si>
    <t>§33,4,4b</t>
  </si>
  <si>
    <t>§33,4,4c</t>
  </si>
  <si>
    <t>Max DE pr ha afhængig af beregningsmodel -som gennemsnit af harmoniareal inkl. det, som evt ikke får svinegødning</t>
  </si>
  <si>
    <t>Max DE pr ha</t>
  </si>
  <si>
    <t>Dyreenheder pr ha i P-klasse</t>
  </si>
  <si>
    <t>klasse 1</t>
  </si>
  <si>
    <t>§32,4,4d</t>
  </si>
  <si>
    <t>§32,4,4a</t>
  </si>
  <si>
    <t>§32,4,4b</t>
  </si>
  <si>
    <t>§32,4,4c</t>
  </si>
  <si>
    <t>(celle H38)</t>
  </si>
  <si>
    <t>Model 4d kræver årlig beregning og årlig dokumentation, da aktuelle normtal påvirker harmoniareal</t>
  </si>
  <si>
    <t>Hvis der anmeldes mindre udvidelse end maksimalt muligt, kan man beregne harmoniareal efter den faktiske udvidelse - ligesom faktisk antal DE kan bruges ved årlig</t>
  </si>
  <si>
    <t>dokumentation af, at harmoniarealet overholder §32,4,4d, hvis denne er valgt</t>
  </si>
  <si>
    <t>ifølge DE-formler, aktuel vægtinterval</t>
  </si>
  <si>
    <t>Dvs harmoniareal ved anmeldelse på</t>
  </si>
  <si>
    <t>Indtastning af egne tal for arealfordeling til beregning af den bedste model</t>
  </si>
  <si>
    <t>P pr ha klasse 0 (hvis gødning kl 1-3)</t>
  </si>
  <si>
    <t>skal give 100!</t>
  </si>
  <si>
    <t>(ved fuld udnyttelse af anmeldemulighed)</t>
  </si>
  <si>
    <t>Hjælpeberegning af</t>
  </si>
  <si>
    <t>eksakte formler 2002</t>
  </si>
  <si>
    <t>godkendt</t>
  </si>
  <si>
    <t>antal pr DE og ialt ifølge</t>
  </si>
  <si>
    <t>2 eller 3</t>
  </si>
  <si>
    <t>I praksis er det især stk 4, 4b og 4d, som er relevante. 4b er relevant, hvis kun fosforklasse 1 og 4d ved mere end 3 % af jord i P-klasse</t>
  </si>
  <si>
    <t>eksakte formler 2010</t>
  </si>
  <si>
    <t>Normtal 05/06</t>
  </si>
  <si>
    <t>DE i alt, 2014 definition</t>
  </si>
  <si>
    <t>og hvis der kun er fosforkrav skal råprotein sættes højt</t>
  </si>
  <si>
    <t>i rubrik til egne tal - så bruges 2005/06 for N</t>
  </si>
  <si>
    <t>Dette giver mulighed for ca. 8,6 % udvidelse</t>
  </si>
  <si>
    <t>så kan der udvides godt 17 %</t>
  </si>
  <si>
    <t>FRATS</t>
  </si>
  <si>
    <t xml:space="preserve">2014 DE pr svin i anmeldt vægtinterval </t>
  </si>
  <si>
    <t>FRATS, dvs startvægt &lt;25 kg og slutvægt over 87 kg levende vægt både før og efter anmeldelse</t>
  </si>
  <si>
    <t>DE pr gris</t>
  </si>
  <si>
    <t>(skal være enten &lt;40 eller &gt; 87 for at formler regner rigtigt)</t>
  </si>
  <si>
    <t>Kg P pr gris, type 1 ligning</t>
  </si>
  <si>
    <t>Slagtesvin, kræver startvægt over 25 kg</t>
  </si>
  <si>
    <t>Antal grise pr DE</t>
  </si>
  <si>
    <t>Også ved FRATS tages udgangspunkt i godkendte DE, hvis dette afviger lidt fra DE ifølge formel</t>
  </si>
  <si>
    <r>
      <t xml:space="preserve">Regneark til 2. gangs anmeldelse ifølge $32 </t>
    </r>
    <r>
      <rPr>
        <b/>
        <sz val="12"/>
        <color indexed="8"/>
        <rFont val="Calibri"/>
        <family val="2"/>
      </rPr>
      <t>(for godkendelser basis DE-definition fra 2002, som har anmeldt udvidelse til 2010-def.)</t>
    </r>
  </si>
  <si>
    <t>2010-14</t>
  </si>
  <si>
    <t>Anmeldt 2010-14</t>
  </si>
  <si>
    <t>anmeldt</t>
  </si>
  <si>
    <t>Anmeldt vægtinterval,2015</t>
  </si>
  <si>
    <t>(hvis der er anmeldt færre DE ifølge 2010 Definition end ifølge 2002 definition må man vurdere hvilken, der er mest relevant, afhængig af årsag til forskel.)</t>
  </si>
  <si>
    <t>Det antages, at det oprindeligt godkendte antal DE 2002-2010 er lig med det anmeldte antal DE fra 2010-14</t>
  </si>
  <si>
    <t>Derfor tages udgangspunkt i de godkendte DE 2002-2010 = anmeldte DE 2010-2014</t>
  </si>
  <si>
    <t>Også ved FRATS tages udgangspunkt i godkendte = anmeldte DE</t>
  </si>
  <si>
    <t>Godkendt/anmeldt 2010-14</t>
  </si>
  <si>
    <t>Anmeldt vægtinterval, 2015</t>
  </si>
  <si>
    <t>Max tilladt anmeldt,2015</t>
  </si>
  <si>
    <t>Smågrise, dvs. afgangsvægt under 40 kg for at beregning er korrekt og over 25 kg for, at det er relevant</t>
  </si>
  <si>
    <t>2014 DE pr svin i anmeldt vægtinterval :</t>
  </si>
  <si>
    <t>P pr ha, ikke fosforklasse, 1,4 DE</t>
  </si>
  <si>
    <t>(skal være mindre end 40 kg, for at formler regner rigtigt)</t>
  </si>
  <si>
    <t>C direkte i stedet for antal ha i Kolonne F</t>
  </si>
  <si>
    <t>SEGES, VSP version oktober 2015, faglig ansvarlig er Per Tybirk, tlf. 87405361</t>
  </si>
  <si>
    <t>Gælder ved anmeldelser basis 2015/16 normtal for godkendelser fra jan 2007 til april 2011 ved faldende husdyrtryk</t>
  </si>
  <si>
    <t>SEGES, VSP, Okt. 2015. Ansvarlig Per Tybirk 87405361</t>
  </si>
  <si>
    <t>Egne tal udfyldes, hvis der er brugt egne tal. Regnearket vælger selv, om basis skal være egne tal eller normtal 2005/06</t>
  </si>
  <si>
    <t>2015/16</t>
  </si>
  <si>
    <t>Smågrise lever op til BAT for P og derfor ingen reduktion pga. fosfor. Der kan anmeldes ca. 17,8 % større produktion</t>
  </si>
  <si>
    <t>Slagtesvin kan udvide ca. 20 % ud fra N, men begrænses til 11% pga. BAT for P ved 1,4 DE og kan udvide 11% ved 1,25 DE/ha</t>
  </si>
  <si>
    <t>P ab lager stiger,  hvis man udnytter</t>
  </si>
  <si>
    <t>BAT, inkl fare</t>
  </si>
  <si>
    <t>indtastes</t>
  </si>
  <si>
    <t>celle I24</t>
  </si>
  <si>
    <t>(brug evt hjælpeberegning nedenfor, celle E79)</t>
  </si>
  <si>
    <r>
      <t xml:space="preserve">BAT aktuel staldfordeling, </t>
    </r>
    <r>
      <rPr>
        <sz val="11"/>
        <color indexed="56"/>
        <rFont val="Calibri"/>
        <family val="2"/>
      </rPr>
      <t>hent evt. i D79</t>
    </r>
  </si>
  <si>
    <t>Søer kan udvides 6% uden reduktion i DE pr ha. Der kan udvides ca. 6,5 % ved 1,25 DE/ha (30 kg P pr ha)</t>
  </si>
  <si>
    <t>BAT indtastes i celle I24</t>
  </si>
  <si>
    <t>oktober</t>
  </si>
  <si>
    <t>Normtal 2015/16</t>
  </si>
  <si>
    <t>kan beregnes fra holddriftinterval, mens gns. antal dyr på stald beregnes ud fra dage pr gris fra start til slutvægt. Landsgns er 54 dage småg og 85 dage sl.svin</t>
  </si>
  <si>
    <t>Kan kun håndtere beregninger ifølge 2015/16 normtal både før og efter. Der indtastes i gule felter</t>
  </si>
  <si>
    <t>Regneark til skift af dyretype ifølge § 31</t>
  </si>
  <si>
    <t>Aktuel produktion før ændring - eller mulig produktion ifølge § 32 eller § 33 ved uændret dyretype.</t>
  </si>
  <si>
    <t>Ønsket produktion ved udnyttelse af § 31. Her prøver man sig frem for at sikre uændret miljøbelastning</t>
  </si>
  <si>
    <t>Gælder ved anmeldelser basis 2015/16 normtal for godkendelser fra 15/4-30/9  2011 ved faldende husdyrtryk</t>
  </si>
  <si>
    <t>Normtal 10/11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</si>
</sst>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4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47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55" fillId="0" borderId="0" xfId="0" applyFont="1" applyFill="1" applyAlignment="1">
      <alignment/>
    </xf>
    <xf numFmtId="170" fontId="57" fillId="33" borderId="0" xfId="0" applyNumberFormat="1" applyFont="1" applyFill="1" applyAlignment="1" applyProtection="1">
      <alignment horizontal="center"/>
      <protection locked="0"/>
    </xf>
    <xf numFmtId="0" fontId="40" fillId="0" borderId="0" xfId="0" applyFont="1" applyFill="1" applyAlignment="1">
      <alignment/>
    </xf>
    <xf numFmtId="0" fontId="0" fillId="7" borderId="0" xfId="0" applyFill="1" applyAlignment="1">
      <alignment/>
    </xf>
    <xf numFmtId="0" fontId="55" fillId="16" borderId="0" xfId="0" applyFont="1" applyFill="1" applyAlignment="1">
      <alignment/>
    </xf>
    <xf numFmtId="0" fontId="0" fillId="16" borderId="0" xfId="0" applyFill="1" applyAlignment="1">
      <alignment/>
    </xf>
    <xf numFmtId="2" fontId="40" fillId="16" borderId="0" xfId="0" applyNumberFormat="1" applyFont="1" applyFill="1" applyAlignment="1">
      <alignment/>
    </xf>
    <xf numFmtId="170" fontId="40" fillId="10" borderId="0" xfId="0" applyNumberFormat="1" applyFont="1" applyFill="1" applyAlignment="1">
      <alignment/>
    </xf>
    <xf numFmtId="2" fontId="40" fillId="10" borderId="0" xfId="0" applyNumberFormat="1" applyFont="1" applyFill="1" applyAlignment="1">
      <alignment/>
    </xf>
    <xf numFmtId="0" fontId="55" fillId="4" borderId="0" xfId="0" applyFont="1" applyFill="1" applyAlignment="1">
      <alignment/>
    </xf>
    <xf numFmtId="0" fontId="0" fillId="4" borderId="0" xfId="0" applyFill="1" applyAlignment="1">
      <alignment/>
    </xf>
    <xf numFmtId="0" fontId="40" fillId="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  <xf numFmtId="170" fontId="58" fillId="33" borderId="0" xfId="0" applyNumberFormat="1" applyFont="1" applyFill="1" applyAlignment="1" applyProtection="1">
      <alignment horizontal="center"/>
      <protection locked="0"/>
    </xf>
    <xf numFmtId="0" fontId="5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/>
    </xf>
    <xf numFmtId="1" fontId="25" fillId="4" borderId="0" xfId="0" applyNumberFormat="1" applyFont="1" applyFill="1" applyAlignment="1">
      <alignment horizontal="center"/>
    </xf>
    <xf numFmtId="0" fontId="26" fillId="7" borderId="0" xfId="0" applyFont="1" applyFill="1" applyAlignment="1">
      <alignment/>
    </xf>
    <xf numFmtId="2" fontId="0" fillId="7" borderId="0" xfId="0" applyNumberFormat="1" applyFill="1" applyAlignment="1">
      <alignment/>
    </xf>
    <xf numFmtId="0" fontId="55" fillId="7" borderId="0" xfId="0" applyFont="1" applyFill="1" applyAlignment="1">
      <alignment/>
    </xf>
    <xf numFmtId="0" fontId="5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/>
    </xf>
    <xf numFmtId="165" fontId="0" fillId="7" borderId="0" xfId="0" applyNumberFormat="1" applyFill="1" applyAlignment="1">
      <alignment horizontal="center"/>
    </xf>
    <xf numFmtId="1" fontId="25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40" fillId="7" borderId="0" xfId="0" applyFont="1" applyFill="1" applyAlignment="1">
      <alignment/>
    </xf>
    <xf numFmtId="16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70" fontId="0" fillId="7" borderId="0" xfId="0" applyNumberFormat="1" applyFill="1" applyAlignment="1">
      <alignment horizontal="center"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2" fontId="40" fillId="13" borderId="0" xfId="0" applyNumberFormat="1" applyFont="1" applyFill="1" applyAlignment="1">
      <alignment/>
    </xf>
    <xf numFmtId="170" fontId="40" fillId="13" borderId="0" xfId="0" applyNumberFormat="1" applyFont="1" applyFill="1" applyAlignment="1">
      <alignment/>
    </xf>
    <xf numFmtId="0" fontId="25" fillId="13" borderId="0" xfId="0" applyFont="1" applyFill="1" applyAlignment="1">
      <alignment/>
    </xf>
    <xf numFmtId="0" fontId="25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170" fontId="0" fillId="4" borderId="0" xfId="0" applyNumberFormat="1" applyFill="1" applyAlignment="1" applyProtection="1">
      <alignment horizontal="center"/>
      <protection/>
    </xf>
    <xf numFmtId="0" fontId="59" fillId="0" borderId="0" xfId="0" applyFont="1" applyAlignment="1">
      <alignment/>
    </xf>
    <xf numFmtId="0" fontId="58" fillId="33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170" fontId="57" fillId="7" borderId="0" xfId="0" applyNumberFormat="1" applyFont="1" applyFill="1" applyAlignment="1" applyProtection="1">
      <alignment horizontal="center"/>
      <protection/>
    </xf>
    <xf numFmtId="0" fontId="58" fillId="7" borderId="0" xfId="0" applyFont="1" applyFill="1" applyAlignment="1" applyProtection="1">
      <alignment horizontal="center"/>
      <protection/>
    </xf>
    <xf numFmtId="2" fontId="57" fillId="7" borderId="0" xfId="0" applyNumberFormat="1" applyFont="1" applyFill="1" applyAlignment="1" applyProtection="1">
      <alignment horizontal="center"/>
      <protection/>
    </xf>
    <xf numFmtId="165" fontId="0" fillId="7" borderId="0" xfId="0" applyNumberForma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70" fontId="57" fillId="4" borderId="0" xfId="0" applyNumberFormat="1" applyFont="1" applyFill="1" applyAlignment="1" applyProtection="1">
      <alignment horizontal="center"/>
      <protection/>
    </xf>
    <xf numFmtId="0" fontId="58" fillId="4" borderId="0" xfId="0" applyFont="1" applyFill="1" applyAlignment="1" applyProtection="1">
      <alignment horizontal="center"/>
      <protection/>
    </xf>
    <xf numFmtId="2" fontId="57" fillId="4" borderId="0" xfId="0" applyNumberFormat="1" applyFont="1" applyFill="1" applyAlignment="1" applyProtection="1">
      <alignment horizontal="center"/>
      <protection/>
    </xf>
    <xf numFmtId="165" fontId="0" fillId="4" borderId="0" xfId="0" applyNumberFormat="1" applyFill="1" applyAlignment="1" applyProtection="1">
      <alignment horizontal="center"/>
      <protection/>
    </xf>
    <xf numFmtId="165" fontId="40" fillId="10" borderId="0" xfId="0" applyNumberFormat="1" applyFont="1" applyFill="1" applyAlignment="1">
      <alignment/>
    </xf>
    <xf numFmtId="0" fontId="26" fillId="10" borderId="0" xfId="0" applyFont="1" applyFill="1" applyAlignment="1">
      <alignment/>
    </xf>
    <xf numFmtId="0" fontId="26" fillId="13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1" fontId="55" fillId="35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1" fillId="0" borderId="0" xfId="0" applyFont="1" applyAlignment="1">
      <alignment/>
    </xf>
    <xf numFmtId="170" fontId="0" fillId="4" borderId="0" xfId="0" applyNumberFormat="1" applyFill="1" applyAlignment="1">
      <alignment/>
    </xf>
    <xf numFmtId="0" fontId="40" fillId="0" borderId="0" xfId="0" applyFont="1" applyAlignment="1">
      <alignment/>
    </xf>
    <xf numFmtId="0" fontId="62" fillId="12" borderId="0" xfId="0" applyFont="1" applyFill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62" fillId="7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0" fillId="6" borderId="0" xfId="0" applyFill="1" applyAlignment="1">
      <alignment/>
    </xf>
    <xf numFmtId="0" fontId="55" fillId="6" borderId="0" xfId="0" applyFont="1" applyFill="1" applyAlignment="1">
      <alignment/>
    </xf>
    <xf numFmtId="0" fontId="62" fillId="4" borderId="0" xfId="0" applyFont="1" applyFill="1" applyAlignment="1">
      <alignment/>
    </xf>
    <xf numFmtId="170" fontId="0" fillId="1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3" borderId="0" xfId="0" applyNumberForma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0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55" fillId="19" borderId="0" xfId="0" applyFont="1" applyFill="1" applyAlignment="1">
      <alignment/>
    </xf>
    <xf numFmtId="0" fontId="0" fillId="6" borderId="0" xfId="0" applyFill="1" applyAlignment="1">
      <alignment horizontal="center"/>
    </xf>
    <xf numFmtId="0" fontId="40" fillId="6" borderId="0" xfId="0" applyFont="1" applyFill="1" applyAlignment="1">
      <alignment horizontal="center"/>
    </xf>
    <xf numFmtId="0" fontId="40" fillId="12" borderId="0" xfId="0" applyFont="1" applyFill="1" applyAlignment="1">
      <alignment horizontal="center"/>
    </xf>
    <xf numFmtId="0" fontId="40" fillId="12" borderId="0" xfId="0" applyFont="1" applyFill="1" applyAlignment="1">
      <alignment/>
    </xf>
    <xf numFmtId="0" fontId="59" fillId="12" borderId="0" xfId="0" applyFont="1" applyFill="1" applyAlignment="1">
      <alignment/>
    </xf>
    <xf numFmtId="0" fontId="55" fillId="18" borderId="0" xfId="0" applyFont="1" applyFill="1" applyAlignment="1">
      <alignment/>
    </xf>
    <xf numFmtId="0" fontId="40" fillId="18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40" fillId="6" borderId="0" xfId="0" applyFont="1" applyFill="1" applyAlignment="1">
      <alignment/>
    </xf>
    <xf numFmtId="0" fontId="0" fillId="16" borderId="0" xfId="0" applyFill="1" applyAlignment="1">
      <alignment horizontal="center"/>
    </xf>
    <xf numFmtId="170" fontId="0" fillId="1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5" fillId="0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2" fontId="25" fillId="4" borderId="0" xfId="0" applyNumberFormat="1" applyFont="1" applyFill="1" applyAlignment="1">
      <alignment horizontal="center"/>
    </xf>
    <xf numFmtId="2" fontId="25" fillId="7" borderId="0" xfId="0" applyNumberFormat="1" applyFont="1" applyFill="1" applyAlignment="1">
      <alignment horizontal="center"/>
    </xf>
    <xf numFmtId="0" fontId="55" fillId="13" borderId="0" xfId="0" applyFont="1" applyFill="1" applyAlignment="1">
      <alignment/>
    </xf>
    <xf numFmtId="0" fontId="55" fillId="10" borderId="0" xfId="0" applyFont="1" applyFill="1" applyAlignment="1">
      <alignment/>
    </xf>
    <xf numFmtId="170" fontId="0" fillId="19" borderId="0" xfId="0" applyNumberFormat="1" applyFill="1" applyAlignment="1">
      <alignment/>
    </xf>
    <xf numFmtId="170" fontId="0" fillId="35" borderId="0" xfId="0" applyNumberFormat="1" applyFill="1" applyAlignment="1">
      <alignment horizontal="center"/>
    </xf>
    <xf numFmtId="1" fontId="55" fillId="35" borderId="0" xfId="0" applyNumberFormat="1" applyFont="1" applyFill="1" applyAlignment="1">
      <alignment/>
    </xf>
    <xf numFmtId="0" fontId="25" fillId="18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170" fontId="0" fillId="35" borderId="0" xfId="0" applyNumberFormat="1" applyFill="1" applyAlignment="1">
      <alignment/>
    </xf>
    <xf numFmtId="170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170" fontId="0" fillId="20" borderId="0" xfId="0" applyNumberFormat="1" applyFill="1" applyAlignment="1">
      <alignment horizontal="left"/>
    </xf>
    <xf numFmtId="0" fontId="0" fillId="20" borderId="0" xfId="0" applyFill="1" applyAlignment="1">
      <alignment/>
    </xf>
    <xf numFmtId="0" fontId="25" fillId="20" borderId="0" xfId="0" applyFont="1" applyFill="1" applyAlignment="1">
      <alignment/>
    </xf>
    <xf numFmtId="0" fontId="0" fillId="36" borderId="0" xfId="0" applyFill="1" applyAlignment="1">
      <alignment/>
    </xf>
    <xf numFmtId="165" fontId="25" fillId="6" borderId="0" xfId="0" applyNumberFormat="1" applyFont="1" applyFill="1" applyAlignment="1">
      <alignment horizontal="center"/>
    </xf>
    <xf numFmtId="2" fontId="25" fillId="6" borderId="0" xfId="0" applyNumberFormat="1" applyFont="1" applyFill="1" applyAlignment="1">
      <alignment horizontal="center"/>
    </xf>
    <xf numFmtId="2" fontId="25" fillId="12" borderId="0" xfId="0" applyNumberFormat="1" applyFont="1" applyFill="1" applyAlignment="1">
      <alignment horizontal="center"/>
    </xf>
    <xf numFmtId="165" fontId="25" fillId="12" borderId="0" xfId="0" applyNumberFormat="1" applyFont="1" applyFill="1" applyAlignment="1">
      <alignment horizontal="center"/>
    </xf>
    <xf numFmtId="170" fontId="25" fillId="7" borderId="0" xfId="0" applyNumberFormat="1" applyFont="1" applyFill="1" applyAlignment="1">
      <alignment horizontal="center"/>
    </xf>
    <xf numFmtId="170" fontId="25" fillId="4" borderId="0" xfId="0" applyNumberFormat="1" applyFont="1" applyFill="1" applyAlignment="1">
      <alignment horizontal="center"/>
    </xf>
    <xf numFmtId="0" fontId="40" fillId="35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164" fontId="40" fillId="4" borderId="0" xfId="0" applyNumberFormat="1" applyFont="1" applyFill="1" applyAlignment="1" applyProtection="1">
      <alignment horizontal="center"/>
      <protection/>
    </xf>
    <xf numFmtId="170" fontId="25" fillId="33" borderId="0" xfId="0" applyNumberFormat="1" applyFont="1" applyFill="1" applyAlignment="1" applyProtection="1">
      <alignment horizontal="center"/>
      <protection locked="0"/>
    </xf>
    <xf numFmtId="170" fontId="40" fillId="0" borderId="0" xfId="0" applyNumberFormat="1" applyFont="1" applyFill="1" applyAlignment="1">
      <alignment horizontal="center"/>
    </xf>
    <xf numFmtId="165" fontId="25" fillId="16" borderId="0" xfId="0" applyNumberFormat="1" applyFont="1" applyFill="1" applyAlignment="1">
      <alignment horizontal="center"/>
    </xf>
    <xf numFmtId="0" fontId="26" fillId="16" borderId="0" xfId="0" applyFont="1" applyFill="1" applyAlignment="1">
      <alignment horizontal="center"/>
    </xf>
    <xf numFmtId="0" fontId="64" fillId="0" borderId="0" xfId="0" applyFont="1" applyAlignment="1">
      <alignment/>
    </xf>
    <xf numFmtId="2" fontId="0" fillId="0" borderId="0" xfId="0" applyNumberFormat="1" applyAlignment="1">
      <alignment horizontal="center"/>
    </xf>
    <xf numFmtId="17" fontId="0" fillId="34" borderId="0" xfId="0" applyNumberForma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40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8" borderId="0" xfId="0" applyNumberFormat="1" applyFill="1" applyAlignment="1">
      <alignment horizontal="left"/>
    </xf>
    <xf numFmtId="165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37" borderId="0" xfId="0" applyFill="1" applyAlignment="1">
      <alignment horizontal="center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8" borderId="0" xfId="0" applyFill="1" applyAlignment="1">
      <alignment/>
    </xf>
    <xf numFmtId="2" fontId="55" fillId="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 locked="0"/>
    </xf>
    <xf numFmtId="170" fontId="0" fillId="0" borderId="0" xfId="0" applyNumberFormat="1" applyFill="1" applyAlignment="1">
      <alignment/>
    </xf>
    <xf numFmtId="170" fontId="0" fillId="38" borderId="0" xfId="0" applyNumberFormat="1" applyFill="1" applyAlignment="1">
      <alignment/>
    </xf>
    <xf numFmtId="0" fontId="62" fillId="0" borderId="0" xfId="0" applyFont="1" applyAlignment="1">
      <alignment/>
    </xf>
    <xf numFmtId="170" fontId="55" fillId="35" borderId="0" xfId="0" applyNumberFormat="1" applyFont="1" applyFill="1" applyAlignment="1">
      <alignment/>
    </xf>
    <xf numFmtId="0" fontId="40" fillId="10" borderId="0" xfId="0" applyFont="1" applyFill="1" applyAlignment="1">
      <alignment/>
    </xf>
    <xf numFmtId="1" fontId="40" fillId="10" borderId="0" xfId="0" applyNumberFormat="1" applyFont="1" applyFill="1" applyAlignment="1">
      <alignment/>
    </xf>
    <xf numFmtId="0" fontId="67" fillId="4" borderId="0" xfId="0" applyFont="1" applyFill="1" applyAlignment="1">
      <alignment/>
    </xf>
    <xf numFmtId="1" fontId="40" fillId="16" borderId="0" xfId="0" applyNumberFormat="1" applyFont="1" applyFill="1" applyAlignment="1">
      <alignment/>
    </xf>
    <xf numFmtId="1" fontId="40" fillId="13" borderId="0" xfId="0" applyNumberFormat="1" applyFont="1" applyFill="1" applyAlignment="1">
      <alignment/>
    </xf>
    <xf numFmtId="0" fontId="40" fillId="16" borderId="0" xfId="0" applyFont="1" applyFill="1" applyAlignment="1">
      <alignment/>
    </xf>
    <xf numFmtId="165" fontId="40" fillId="16" borderId="0" xfId="0" applyNumberFormat="1" applyFont="1" applyFill="1" applyAlignment="1">
      <alignment/>
    </xf>
    <xf numFmtId="0" fontId="0" fillId="8" borderId="0" xfId="0" applyFill="1" applyAlignment="1">
      <alignment/>
    </xf>
    <xf numFmtId="165" fontId="0" fillId="13" borderId="0" xfId="0" applyNumberFormat="1" applyFill="1" applyAlignment="1">
      <alignment horizontal="center"/>
    </xf>
    <xf numFmtId="0" fontId="25" fillId="34" borderId="0" xfId="0" applyFont="1" applyFill="1" applyAlignment="1">
      <alignment horizontal="left"/>
    </xf>
    <xf numFmtId="2" fontId="0" fillId="33" borderId="0" xfId="0" applyNumberFormat="1" applyFill="1" applyAlignment="1" applyProtection="1">
      <alignment/>
      <protection locked="0"/>
    </xf>
    <xf numFmtId="0" fontId="25" fillId="8" borderId="0" xfId="0" applyFont="1" applyFill="1" applyAlignment="1">
      <alignment horizontal="left"/>
    </xf>
    <xf numFmtId="0" fontId="25" fillId="8" borderId="0" xfId="0" applyFont="1" applyFill="1" applyAlignment="1">
      <alignment horizontal="center"/>
    </xf>
    <xf numFmtId="0" fontId="25" fillId="8" borderId="0" xfId="0" applyFont="1" applyFill="1" applyAlignment="1">
      <alignment/>
    </xf>
    <xf numFmtId="0" fontId="60" fillId="8" borderId="0" xfId="0" applyFont="1" applyFill="1" applyAlignment="1">
      <alignment/>
    </xf>
    <xf numFmtId="2" fontId="0" fillId="16" borderId="0" xfId="0" applyNumberFormat="1" applyFill="1" applyAlignment="1">
      <alignment/>
    </xf>
    <xf numFmtId="0" fontId="25" fillId="7" borderId="0" xfId="0" applyFont="1" applyFill="1" applyAlignment="1">
      <alignment/>
    </xf>
    <xf numFmtId="0" fontId="40" fillId="13" borderId="0" xfId="0" applyFont="1" applyFill="1" applyAlignment="1">
      <alignment/>
    </xf>
    <xf numFmtId="0" fontId="25" fillId="16" borderId="0" xfId="0" applyFont="1" applyFill="1" applyAlignment="1">
      <alignment/>
    </xf>
    <xf numFmtId="0" fontId="25" fillId="16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0" fontId="0" fillId="40" borderId="0" xfId="0" applyFill="1" applyAlignment="1">
      <alignment/>
    </xf>
    <xf numFmtId="2" fontId="0" fillId="8" borderId="0" xfId="0" applyNumberFormat="1" applyFill="1" applyAlignment="1">
      <alignment/>
    </xf>
    <xf numFmtId="170" fontId="55" fillId="40" borderId="0" xfId="0" applyNumberFormat="1" applyFont="1" applyFill="1" applyAlignment="1">
      <alignment/>
    </xf>
    <xf numFmtId="170" fontId="55" fillId="8" borderId="0" xfId="0" applyNumberFormat="1" applyFont="1" applyFill="1" applyAlignment="1">
      <alignment/>
    </xf>
    <xf numFmtId="170" fontId="55" fillId="6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0" fontId="55" fillId="0" borderId="0" xfId="0" applyNumberFormat="1" applyFont="1" applyFill="1" applyAlignment="1">
      <alignment/>
    </xf>
    <xf numFmtId="2" fontId="0" fillId="35" borderId="0" xfId="0" applyNumberFormat="1" applyFill="1" applyAlignment="1">
      <alignment horizontal="left"/>
    </xf>
    <xf numFmtId="0" fontId="0" fillId="18" borderId="0" xfId="0" applyFill="1" applyAlignment="1">
      <alignment/>
    </xf>
    <xf numFmtId="2" fontId="40" fillId="0" borderId="0" xfId="0" applyNumberFormat="1" applyFont="1" applyAlignment="1">
      <alignment horizontal="center"/>
    </xf>
    <xf numFmtId="170" fontId="0" fillId="35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40" borderId="0" xfId="0" applyNumberFormat="1" applyFont="1" applyFill="1" applyAlignment="1">
      <alignment/>
    </xf>
    <xf numFmtId="170" fontId="0" fillId="8" borderId="0" xfId="0" applyNumberFormat="1" applyFont="1" applyFill="1" applyAlignment="1">
      <alignment/>
    </xf>
    <xf numFmtId="170" fontId="0" fillId="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39" borderId="0" xfId="0" applyFill="1" applyAlignment="1" applyProtection="1">
      <alignment horizontal="center"/>
      <protection locked="0"/>
    </xf>
    <xf numFmtId="2" fontId="0" fillId="40" borderId="0" xfId="0" applyNumberFormat="1" applyFill="1" applyAlignment="1">
      <alignment horizontal="center"/>
    </xf>
    <xf numFmtId="1" fontId="0" fillId="40" borderId="0" xfId="0" applyNumberFormat="1" applyFill="1" applyAlignment="1">
      <alignment horizontal="center"/>
    </xf>
    <xf numFmtId="1" fontId="0" fillId="39" borderId="0" xfId="0" applyNumberFormat="1" applyFill="1" applyAlignment="1" applyProtection="1">
      <alignment horizontal="center"/>
      <protection locked="0"/>
    </xf>
    <xf numFmtId="1" fontId="55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25" fillId="7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1" fontId="55" fillId="0" borderId="0" xfId="0" applyNumberFormat="1" applyFont="1" applyFill="1" applyAlignment="1">
      <alignment/>
    </xf>
    <xf numFmtId="0" fontId="71" fillId="35" borderId="0" xfId="0" applyFont="1" applyFill="1" applyAlignment="1">
      <alignment/>
    </xf>
    <xf numFmtId="0" fontId="57" fillId="4" borderId="0" xfId="0" applyFont="1" applyFill="1" applyAlignment="1">
      <alignment/>
    </xf>
    <xf numFmtId="165" fontId="40" fillId="7" borderId="0" xfId="0" applyNumberFormat="1" applyFont="1" applyFill="1" applyAlignment="1" applyProtection="1">
      <alignment horizontal="center"/>
      <protection/>
    </xf>
    <xf numFmtId="0" fontId="40" fillId="35" borderId="0" xfId="0" applyFont="1" applyFill="1" applyAlignment="1">
      <alignment horizontal="center"/>
    </xf>
    <xf numFmtId="0" fontId="72" fillId="0" borderId="0" xfId="0" applyFont="1" applyAlignment="1">
      <alignment/>
    </xf>
    <xf numFmtId="0" fontId="5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2" fontId="64" fillId="0" borderId="0" xfId="0" applyNumberFormat="1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B1">
      <selection activeCell="Q20" sqref="Q20"/>
    </sheetView>
  </sheetViews>
  <sheetFormatPr defaultColWidth="9.140625" defaultRowHeight="15"/>
  <cols>
    <col min="1" max="1" width="23.28125" style="0" customWidth="1"/>
    <col min="4" max="4" width="9.7109375" style="0" customWidth="1"/>
    <col min="7" max="8" width="9.28125" style="0" customWidth="1"/>
    <col min="12" max="12" width="10.57421875" style="0" customWidth="1"/>
    <col min="14" max="14" width="9.57421875" style="0" bestFit="1" customWidth="1"/>
  </cols>
  <sheetData>
    <row r="1" spans="1:12" ht="23.25">
      <c r="A1" s="85" t="s">
        <v>392</v>
      </c>
      <c r="K1" s="3"/>
      <c r="L1" s="3"/>
    </row>
    <row r="2" spans="1:14" ht="15">
      <c r="A2" s="2" t="s">
        <v>391</v>
      </c>
      <c r="B2" s="2"/>
      <c r="C2" s="2"/>
      <c r="D2" s="2"/>
      <c r="E2" s="2"/>
      <c r="F2" s="2"/>
      <c r="G2" s="2"/>
      <c r="H2" s="2"/>
      <c r="I2" s="3"/>
      <c r="J2" s="84"/>
      <c r="K2" s="159" t="s">
        <v>305</v>
      </c>
      <c r="L2" s="20"/>
      <c r="M2" s="20"/>
      <c r="N2" s="20"/>
    </row>
    <row r="3" spans="1:14" ht="18.75">
      <c r="A3" s="88" t="s">
        <v>389</v>
      </c>
      <c r="B3" s="89"/>
      <c r="C3" s="89"/>
      <c r="D3" s="109"/>
      <c r="E3" s="89"/>
      <c r="F3" s="89"/>
      <c r="G3" s="89"/>
      <c r="H3" s="97" t="s">
        <v>124</v>
      </c>
      <c r="I3" s="3"/>
      <c r="J3" s="84"/>
      <c r="K3" s="188" t="s">
        <v>388</v>
      </c>
      <c r="L3" s="20"/>
      <c r="M3" s="20"/>
      <c r="N3" s="20"/>
    </row>
    <row r="4" spans="1:14" ht="21">
      <c r="A4" s="110"/>
      <c r="B4" s="97" t="s">
        <v>81</v>
      </c>
      <c r="C4" s="97" t="s">
        <v>82</v>
      </c>
      <c r="D4" s="97" t="s">
        <v>125</v>
      </c>
      <c r="E4" s="97" t="s">
        <v>84</v>
      </c>
      <c r="F4" s="97" t="s">
        <v>85</v>
      </c>
      <c r="G4" s="97" t="s">
        <v>102</v>
      </c>
      <c r="H4" s="97" t="s">
        <v>104</v>
      </c>
      <c r="I4" s="3"/>
      <c r="J4" s="84"/>
      <c r="K4" s="157" t="s">
        <v>304</v>
      </c>
      <c r="L4" s="158"/>
      <c r="M4" s="158"/>
      <c r="N4" s="20"/>
    </row>
    <row r="5" spans="1:14" ht="15">
      <c r="A5" s="90"/>
      <c r="B5" s="97" t="s">
        <v>95</v>
      </c>
      <c r="C5" s="97" t="s">
        <v>95</v>
      </c>
      <c r="D5" s="97" t="s">
        <v>95</v>
      </c>
      <c r="E5" s="97" t="s">
        <v>95</v>
      </c>
      <c r="F5" s="97" t="s">
        <v>95</v>
      </c>
      <c r="G5" s="97" t="s">
        <v>103</v>
      </c>
      <c r="H5" s="97" t="s">
        <v>103</v>
      </c>
      <c r="I5" s="3"/>
      <c r="J5" s="160"/>
      <c r="K5" s="190" t="s">
        <v>306</v>
      </c>
      <c r="L5" s="191"/>
      <c r="M5" s="191"/>
      <c r="N5" s="192"/>
    </row>
    <row r="6" spans="1:13" ht="15">
      <c r="A6" s="94" t="s">
        <v>228</v>
      </c>
      <c r="B6" s="106"/>
      <c r="C6" s="106"/>
      <c r="D6" s="106"/>
      <c r="E6" s="106"/>
      <c r="F6" s="106"/>
      <c r="G6" s="106"/>
      <c r="H6" s="106"/>
      <c r="I6" s="3"/>
      <c r="J6" s="133"/>
      <c r="K6" s="120"/>
      <c r="L6" s="84"/>
      <c r="M6" s="84"/>
    </row>
    <row r="7" spans="1:13" ht="15">
      <c r="A7" s="93" t="s">
        <v>77</v>
      </c>
      <c r="B7" s="114">
        <v>0.47</v>
      </c>
      <c r="C7" s="114">
        <v>0.44</v>
      </c>
      <c r="D7" s="114">
        <v>0.0345</v>
      </c>
      <c r="E7" s="114">
        <v>0.123</v>
      </c>
      <c r="F7" s="114">
        <v>0.123</v>
      </c>
      <c r="G7" s="106">
        <v>380</v>
      </c>
      <c r="H7" s="106">
        <v>210</v>
      </c>
      <c r="I7" s="3"/>
      <c r="J7" s="133"/>
      <c r="K7" s="120"/>
      <c r="L7" s="84"/>
      <c r="M7" s="84"/>
    </row>
    <row r="8" spans="1:13" ht="15">
      <c r="A8" s="93" t="s">
        <v>78</v>
      </c>
      <c r="B8" s="114">
        <v>0.47</v>
      </c>
      <c r="C8" s="114">
        <v>0.41</v>
      </c>
      <c r="D8" s="114">
        <v>0.0647</v>
      </c>
      <c r="E8" s="114">
        <v>0.123</v>
      </c>
      <c r="F8" s="114">
        <v>0.123</v>
      </c>
      <c r="G8" s="106">
        <v>380</v>
      </c>
      <c r="H8" s="106">
        <v>210</v>
      </c>
      <c r="I8" s="3"/>
      <c r="J8" s="133"/>
      <c r="K8" s="120"/>
      <c r="L8" s="84"/>
      <c r="M8" s="84"/>
    </row>
    <row r="9" spans="1:13" ht="15">
      <c r="A9" s="90" t="s">
        <v>229</v>
      </c>
      <c r="B9" s="97"/>
      <c r="C9" s="97"/>
      <c r="D9" s="108"/>
      <c r="E9" s="97"/>
      <c r="F9" s="97"/>
      <c r="G9" s="97"/>
      <c r="H9" s="97"/>
      <c r="I9" s="3"/>
      <c r="J9" s="133"/>
      <c r="K9" s="120"/>
      <c r="L9" s="84"/>
      <c r="M9" s="84"/>
    </row>
    <row r="10" spans="1:13" ht="15">
      <c r="A10" s="89" t="s">
        <v>75</v>
      </c>
      <c r="B10" s="113">
        <v>2.93</v>
      </c>
      <c r="C10" s="113">
        <v>2.65</v>
      </c>
      <c r="D10" s="113">
        <v>0.293</v>
      </c>
      <c r="E10" s="145">
        <v>0.65</v>
      </c>
      <c r="F10" s="113">
        <v>0.652</v>
      </c>
      <c r="G10" s="97">
        <v>300</v>
      </c>
      <c r="H10" s="97">
        <v>150</v>
      </c>
      <c r="I10" s="3"/>
      <c r="J10" s="84"/>
      <c r="K10" s="120"/>
      <c r="L10" s="84"/>
      <c r="M10" s="84"/>
    </row>
    <row r="11" spans="1:13" ht="15">
      <c r="A11" s="89" t="s">
        <v>76</v>
      </c>
      <c r="B11" s="113">
        <v>2.93</v>
      </c>
      <c r="C11" s="113">
        <v>2.57</v>
      </c>
      <c r="D11" s="113">
        <v>0.368</v>
      </c>
      <c r="E11" s="145">
        <v>0.65</v>
      </c>
      <c r="F11" s="113">
        <v>0.652</v>
      </c>
      <c r="G11" s="97">
        <v>300</v>
      </c>
      <c r="H11" s="97">
        <v>150</v>
      </c>
      <c r="I11" s="3"/>
      <c r="J11" s="84"/>
      <c r="K11" s="134" t="s">
        <v>170</v>
      </c>
      <c r="L11" s="84"/>
      <c r="M11" s="3"/>
    </row>
    <row r="12" spans="1:12" ht="15">
      <c r="A12" s="89" t="s">
        <v>201</v>
      </c>
      <c r="B12" s="113">
        <v>2.93</v>
      </c>
      <c r="C12" s="113">
        <v>2.49</v>
      </c>
      <c r="D12" s="113">
        <v>0.443</v>
      </c>
      <c r="E12" s="145">
        <v>0.65</v>
      </c>
      <c r="F12" s="113">
        <v>0.65</v>
      </c>
      <c r="G12" s="97">
        <v>450</v>
      </c>
      <c r="H12" s="113">
        <v>150</v>
      </c>
      <c r="I12" s="3"/>
      <c r="J12" s="84"/>
      <c r="K12" s="134" t="s">
        <v>171</v>
      </c>
      <c r="L12" s="84"/>
    </row>
    <row r="13" spans="1:12" ht="15">
      <c r="A13" s="111" t="s">
        <v>118</v>
      </c>
      <c r="B13" s="102">
        <v>24.8</v>
      </c>
      <c r="C13" s="102"/>
      <c r="D13" s="112"/>
      <c r="E13" s="131">
        <v>5.418</v>
      </c>
      <c r="F13" s="102"/>
      <c r="G13" s="102" t="s">
        <v>116</v>
      </c>
      <c r="H13" s="131" t="s">
        <v>110</v>
      </c>
      <c r="I13" s="132" t="s">
        <v>122</v>
      </c>
      <c r="J13" s="84"/>
      <c r="K13" s="134" t="s">
        <v>172</v>
      </c>
      <c r="L13" s="84"/>
    </row>
    <row r="14" spans="1:12" ht="15">
      <c r="A14" s="94" t="s">
        <v>117</v>
      </c>
      <c r="B14" s="106"/>
      <c r="C14" s="106"/>
      <c r="D14" s="107"/>
      <c r="E14" s="106"/>
      <c r="F14" s="106"/>
      <c r="G14" s="106"/>
      <c r="H14" s="114"/>
      <c r="I14" s="132" t="s">
        <v>123</v>
      </c>
      <c r="J14" s="84"/>
      <c r="K14" s="134" t="s">
        <v>177</v>
      </c>
      <c r="L14" s="84"/>
    </row>
    <row r="15" spans="1:12" ht="15">
      <c r="A15" s="93" t="s">
        <v>77</v>
      </c>
      <c r="B15" s="143">
        <f>B13*0.3</f>
        <v>7.4399999999999995</v>
      </c>
      <c r="C15" s="143">
        <v>6.61</v>
      </c>
      <c r="D15" s="142">
        <v>0.836</v>
      </c>
      <c r="E15" s="142">
        <f>$E$13*0.3</f>
        <v>1.6254</v>
      </c>
      <c r="F15" s="114">
        <v>1.625</v>
      </c>
      <c r="G15" s="106">
        <v>72</v>
      </c>
      <c r="H15" s="114">
        <v>13.2</v>
      </c>
      <c r="I15" s="132" t="s">
        <v>169</v>
      </c>
      <c r="J15" s="84"/>
      <c r="K15" s="134" t="s">
        <v>178</v>
      </c>
      <c r="L15" s="84"/>
    </row>
    <row r="16" spans="1:12" ht="15">
      <c r="A16" s="93" t="s">
        <v>78</v>
      </c>
      <c r="B16" s="143">
        <f>B13*0.3</f>
        <v>7.4399999999999995</v>
      </c>
      <c r="C16" s="114">
        <v>5.91</v>
      </c>
      <c r="D16" s="114">
        <v>1.534</v>
      </c>
      <c r="E16" s="142">
        <f>$E$13*0.3</f>
        <v>1.6254</v>
      </c>
      <c r="F16" s="114">
        <v>1.625</v>
      </c>
      <c r="G16" s="106">
        <v>100</v>
      </c>
      <c r="H16" s="114">
        <v>13.2</v>
      </c>
      <c r="I16" s="132" t="s">
        <v>168</v>
      </c>
      <c r="J16" s="84"/>
      <c r="K16" s="122"/>
      <c r="L16" s="84"/>
    </row>
    <row r="17" spans="1:12" ht="15">
      <c r="A17" s="90" t="s">
        <v>105</v>
      </c>
      <c r="B17" s="108"/>
      <c r="C17" s="108"/>
      <c r="D17" s="108"/>
      <c r="E17" s="108"/>
      <c r="F17" s="97"/>
      <c r="G17" s="108"/>
      <c r="H17" s="113"/>
      <c r="I17" s="10"/>
      <c r="J17" s="84"/>
      <c r="K17" s="134" t="s">
        <v>173</v>
      </c>
      <c r="L17" s="84"/>
    </row>
    <row r="18" spans="1:12" ht="15">
      <c r="A18" s="89" t="s">
        <v>79</v>
      </c>
      <c r="B18" s="113">
        <f aca="true" t="shared" si="0" ref="B18:B23">$B$13*0.7</f>
        <v>17.36</v>
      </c>
      <c r="C18" s="113">
        <v>15.88</v>
      </c>
      <c r="D18" s="113">
        <v>2.019</v>
      </c>
      <c r="E18" s="145">
        <f aca="true" t="shared" si="1" ref="E18:E23">$E$13*0.7</f>
        <v>3.7925999999999997</v>
      </c>
      <c r="F18" s="145">
        <v>3.793</v>
      </c>
      <c r="G18" s="97">
        <v>16</v>
      </c>
      <c r="H18" s="113">
        <v>13.2</v>
      </c>
      <c r="I18" s="10"/>
      <c r="J18" s="121"/>
      <c r="K18" s="134" t="s">
        <v>176</v>
      </c>
      <c r="L18" s="84"/>
    </row>
    <row r="19" spans="1:12" ht="15">
      <c r="A19" s="89" t="s">
        <v>80</v>
      </c>
      <c r="B19" s="113">
        <f t="shared" si="0"/>
        <v>17.36</v>
      </c>
      <c r="C19" s="144">
        <v>15.1</v>
      </c>
      <c r="D19" s="113">
        <v>2.796</v>
      </c>
      <c r="E19" s="145">
        <f t="shared" si="1"/>
        <v>3.7925999999999997</v>
      </c>
      <c r="F19" s="145">
        <v>3.793</v>
      </c>
      <c r="G19" s="97">
        <v>16</v>
      </c>
      <c r="H19" s="113">
        <v>13.2</v>
      </c>
      <c r="I19" s="132" t="s">
        <v>56</v>
      </c>
      <c r="J19" s="121"/>
      <c r="K19" s="134" t="s">
        <v>179</v>
      </c>
      <c r="L19" s="84"/>
    </row>
    <row r="20" spans="1:12" ht="15">
      <c r="A20" s="89" t="s">
        <v>106</v>
      </c>
      <c r="B20" s="113">
        <f t="shared" si="0"/>
        <v>17.36</v>
      </c>
      <c r="C20" s="113">
        <v>15.21</v>
      </c>
      <c r="D20" s="113">
        <v>2.866</v>
      </c>
      <c r="E20" s="145">
        <f t="shared" si="1"/>
        <v>3.7925999999999997</v>
      </c>
      <c r="F20" s="145">
        <v>3.954</v>
      </c>
      <c r="G20" s="97">
        <v>16</v>
      </c>
      <c r="H20" s="113">
        <v>13.2</v>
      </c>
      <c r="I20" s="133" t="s">
        <v>174</v>
      </c>
      <c r="J20" s="133"/>
      <c r="K20" s="122"/>
      <c r="L20" s="84"/>
    </row>
    <row r="21" spans="1:12" ht="15">
      <c r="A21" s="89" t="s">
        <v>107</v>
      </c>
      <c r="B21" s="113">
        <f t="shared" si="0"/>
        <v>17.36</v>
      </c>
      <c r="C21" s="113">
        <v>14.95</v>
      </c>
      <c r="D21" s="113">
        <v>3.126</v>
      </c>
      <c r="E21" s="145">
        <f t="shared" si="1"/>
        <v>3.7925999999999997</v>
      </c>
      <c r="F21" s="145">
        <v>3.954</v>
      </c>
      <c r="G21" s="97">
        <v>16</v>
      </c>
      <c r="H21" s="113">
        <v>13.2</v>
      </c>
      <c r="I21" s="133" t="s">
        <v>175</v>
      </c>
      <c r="J21" s="133"/>
      <c r="K21" s="122"/>
      <c r="L21" s="84"/>
    </row>
    <row r="22" spans="1:12" ht="15">
      <c r="A22" s="89" t="s">
        <v>108</v>
      </c>
      <c r="B22" s="113">
        <f t="shared" si="0"/>
        <v>17.36</v>
      </c>
      <c r="C22" s="113">
        <v>14.17</v>
      </c>
      <c r="D22" s="145">
        <v>3.761</v>
      </c>
      <c r="E22" s="145">
        <f t="shared" si="1"/>
        <v>3.7925999999999997</v>
      </c>
      <c r="F22" s="145">
        <v>4.209</v>
      </c>
      <c r="G22" s="97">
        <v>16</v>
      </c>
      <c r="H22" s="113">
        <v>13.2</v>
      </c>
      <c r="I22" s="133" t="s">
        <v>203</v>
      </c>
      <c r="J22" s="121"/>
      <c r="K22" s="121"/>
      <c r="L22" s="84"/>
    </row>
    <row r="23" spans="1:12" ht="15">
      <c r="A23" s="89" t="s">
        <v>109</v>
      </c>
      <c r="B23" s="113">
        <f t="shared" si="0"/>
        <v>17.36</v>
      </c>
      <c r="C23" s="113">
        <v>15.66</v>
      </c>
      <c r="D23" s="113">
        <v>2.406</v>
      </c>
      <c r="E23" s="145">
        <f t="shared" si="1"/>
        <v>3.7925999999999997</v>
      </c>
      <c r="F23" s="145">
        <v>3.816</v>
      </c>
      <c r="G23" s="97">
        <v>16</v>
      </c>
      <c r="H23" s="113">
        <v>13.2</v>
      </c>
      <c r="I23" s="133"/>
      <c r="J23" s="121"/>
      <c r="K23" s="84"/>
      <c r="L23" s="84"/>
    </row>
    <row r="24" spans="1:8" ht="15">
      <c r="A24" s="115"/>
      <c r="B24" s="93"/>
      <c r="C24" s="93"/>
      <c r="D24" s="93"/>
      <c r="E24" s="93"/>
      <c r="F24" s="93"/>
      <c r="G24" s="93"/>
      <c r="H24" s="93"/>
    </row>
    <row r="25" spans="1:14" ht="18.75">
      <c r="A25" s="91" t="s">
        <v>393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1" t="s">
        <v>73</v>
      </c>
    </row>
    <row r="26" spans="1:14" ht="15">
      <c r="A26" s="11"/>
      <c r="B26" s="41" t="s">
        <v>202</v>
      </c>
      <c r="C26" s="41" t="s">
        <v>100</v>
      </c>
      <c r="D26" s="41" t="s">
        <v>113</v>
      </c>
      <c r="E26" s="41" t="s">
        <v>94</v>
      </c>
      <c r="F26" s="41" t="s">
        <v>89</v>
      </c>
      <c r="G26" s="41" t="s">
        <v>81</v>
      </c>
      <c r="H26" s="41" t="s">
        <v>82</v>
      </c>
      <c r="I26" s="41" t="s">
        <v>83</v>
      </c>
      <c r="J26" s="41" t="s">
        <v>84</v>
      </c>
      <c r="K26" s="41" t="s">
        <v>85</v>
      </c>
      <c r="L26" s="41" t="s">
        <v>90</v>
      </c>
      <c r="M26" s="41" t="s">
        <v>91</v>
      </c>
      <c r="N26" s="41">
        <v>2014</v>
      </c>
    </row>
    <row r="27" spans="1:14" ht="15">
      <c r="A27" s="39" t="s">
        <v>96</v>
      </c>
      <c r="B27" s="41" t="s">
        <v>99</v>
      </c>
      <c r="C27" s="41" t="s">
        <v>99</v>
      </c>
      <c r="D27" s="41" t="s">
        <v>101</v>
      </c>
      <c r="E27" s="41"/>
      <c r="F27" s="41"/>
      <c r="G27" s="41" t="s">
        <v>95</v>
      </c>
      <c r="H27" s="41" t="s">
        <v>95</v>
      </c>
      <c r="I27" s="41" t="s">
        <v>95</v>
      </c>
      <c r="J27" s="41" t="s">
        <v>95</v>
      </c>
      <c r="K27" s="41" t="s">
        <v>95</v>
      </c>
      <c r="L27" s="41"/>
      <c r="M27" s="41"/>
      <c r="N27" s="41" t="s">
        <v>162</v>
      </c>
    </row>
    <row r="28" spans="1:14" ht="15">
      <c r="A28" s="11" t="s">
        <v>77</v>
      </c>
      <c r="B28" s="101">
        <v>7.1</v>
      </c>
      <c r="C28" s="101">
        <v>31</v>
      </c>
      <c r="D28" s="5">
        <v>1000</v>
      </c>
      <c r="E28" s="5">
        <v>54</v>
      </c>
      <c r="F28" s="49">
        <f>D28/365.25*E28</f>
        <v>147.84394250513347</v>
      </c>
      <c r="G28" s="146">
        <f>((C28-B28)*(13.39+0.168*(C28+B28)))*D28/1000</f>
        <v>473.00012</v>
      </c>
      <c r="H28" s="146">
        <f>$G$28/0.473*$C$7</f>
        <v>440.00011162790696</v>
      </c>
      <c r="I28" s="146">
        <f>$G$28/0.473*$D$7</f>
        <v>34.50000875264271</v>
      </c>
      <c r="J28" s="146">
        <f>(C28-B28)*(4+0.03*(C28+B28))*D28/1000</f>
        <v>122.91769999999998</v>
      </c>
      <c r="K28" s="146">
        <f>J28*$F$7/$E$7</f>
        <v>122.91769999999998</v>
      </c>
      <c r="L28" s="49">
        <f>$F$28*($C$28+$B$28)/2*$G$7/1000</f>
        <v>1070.2422997946612</v>
      </c>
      <c r="M28" s="49">
        <f>$F$28*($C$28+$B$28)/2*$H$7/1000</f>
        <v>591.4496919917865</v>
      </c>
      <c r="N28" s="49">
        <f>(C28-B28)*D28/5167</f>
        <v>4.625508031739888</v>
      </c>
    </row>
    <row r="29" spans="1:14" ht="15">
      <c r="A29" s="11" t="s">
        <v>78</v>
      </c>
      <c r="B29" s="101">
        <v>7.1</v>
      </c>
      <c r="C29" s="101">
        <v>31</v>
      </c>
      <c r="D29" s="5">
        <v>1000</v>
      </c>
      <c r="E29" s="5">
        <v>54</v>
      </c>
      <c r="F29" s="49">
        <f>D29/365.25*E29</f>
        <v>147.84394250513347</v>
      </c>
      <c r="G29" s="146">
        <f>((C29-B29)*(13.39+0.168*(C29+B29)))*D29/1000</f>
        <v>473.00012</v>
      </c>
      <c r="H29" s="146">
        <f>$G$29/0.473*$C$8</f>
        <v>410.00010401691327</v>
      </c>
      <c r="I29" s="146">
        <f>$G$29/0.473*$D$8</f>
        <v>64.70001641437631</v>
      </c>
      <c r="J29" s="146">
        <f>(C29-B29)*(4+0.03*(C29+B29))*D29/1000</f>
        <v>122.91769999999998</v>
      </c>
      <c r="K29" s="146">
        <f>J29*$F$8/$E$8</f>
        <v>122.91769999999998</v>
      </c>
      <c r="L29" s="49">
        <f>$F$29*($C$29+$B$29)/2*$G$8/1000</f>
        <v>1070.2422997946612</v>
      </c>
      <c r="M29" s="49">
        <f>$F$29*($C$29+$B$29)/2*$H$8/1000</f>
        <v>591.4496919917865</v>
      </c>
      <c r="N29" s="49">
        <f>(C29-B29)*D29/5167</f>
        <v>4.625508031739888</v>
      </c>
    </row>
    <row r="30" spans="1:14" ht="15">
      <c r="A30" s="126" t="s">
        <v>114</v>
      </c>
      <c r="B30" s="52"/>
      <c r="C30" s="52"/>
      <c r="D30" s="52">
        <f>D28+D29</f>
        <v>2000</v>
      </c>
      <c r="E30" s="52"/>
      <c r="F30" s="98">
        <f aca="true" t="shared" si="2" ref="F30:N30">F28+F29</f>
        <v>295.68788501026694</v>
      </c>
      <c r="G30" s="98">
        <f t="shared" si="2"/>
        <v>946.00024</v>
      </c>
      <c r="H30" s="98">
        <f t="shared" si="2"/>
        <v>850.0002156448202</v>
      </c>
      <c r="I30" s="98">
        <f t="shared" si="2"/>
        <v>99.20002516701902</v>
      </c>
      <c r="J30" s="98">
        <f t="shared" si="2"/>
        <v>245.83539999999996</v>
      </c>
      <c r="K30" s="98">
        <f t="shared" si="2"/>
        <v>245.83539999999996</v>
      </c>
      <c r="L30" s="98">
        <f t="shared" si="2"/>
        <v>2140.4845995893224</v>
      </c>
      <c r="M30" s="98">
        <f t="shared" si="2"/>
        <v>1182.899383983573</v>
      </c>
      <c r="N30" s="98">
        <f t="shared" si="2"/>
        <v>9.251016063479776</v>
      </c>
    </row>
    <row r="31" spans="1:14" ht="15">
      <c r="A31" s="39" t="s">
        <v>97</v>
      </c>
      <c r="B31" s="11"/>
      <c r="C31" s="11"/>
      <c r="D31" s="11"/>
      <c r="E31" s="11"/>
      <c r="F31" s="92"/>
      <c r="G31" s="11"/>
      <c r="H31" s="11"/>
      <c r="I31" s="11"/>
      <c r="J31" s="11"/>
      <c r="K31" s="11"/>
      <c r="L31" s="11"/>
      <c r="M31" s="11"/>
      <c r="N31" s="41"/>
    </row>
    <row r="32" spans="1:15" ht="15">
      <c r="A32" s="11" t="s">
        <v>75</v>
      </c>
      <c r="B32" s="101">
        <v>31</v>
      </c>
      <c r="C32" s="101">
        <v>110</v>
      </c>
      <c r="D32" s="5">
        <v>1000</v>
      </c>
      <c r="E32" s="5">
        <v>85</v>
      </c>
      <c r="F32" s="49">
        <f>D32/365.25*E32</f>
        <v>232.7173169062286</v>
      </c>
      <c r="G32" s="146">
        <f>((C32-B32)*(13.39+0.168*(C32+B32)))*D32/1000</f>
        <v>2929.1620000000003</v>
      </c>
      <c r="H32" s="146">
        <f>$G$32/2.929*$C$10</f>
        <v>2650.1465687948107</v>
      </c>
      <c r="I32" s="146">
        <f>$G$32/2.929*$D$10</f>
        <v>293.01620553089793</v>
      </c>
      <c r="J32" s="146">
        <f>(C32-B32)*(4+0.03*(C32+B32))*D32/1000</f>
        <v>650.1700000000001</v>
      </c>
      <c r="K32" s="146">
        <f>J32*$F$10/$E$10</f>
        <v>652.1705230769231</v>
      </c>
      <c r="L32" s="49">
        <f>F32*(C32+B32)/2*$G$10/1000</f>
        <v>4921.971252566735</v>
      </c>
      <c r="M32" s="49">
        <f>F32*(C32+B32)/2*$H$10/1000</f>
        <v>2460.9856262833673</v>
      </c>
      <c r="N32" s="49">
        <f>D32*((40-B32)/5167+(87-40)/3088+(C32-87)/2254)</f>
        <v>27.166111994725643</v>
      </c>
      <c r="O32" t="s">
        <v>56</v>
      </c>
    </row>
    <row r="33" spans="1:14" ht="15">
      <c r="A33" s="11" t="s">
        <v>76</v>
      </c>
      <c r="B33" s="101">
        <v>31</v>
      </c>
      <c r="C33" s="101">
        <v>110</v>
      </c>
      <c r="D33" s="5">
        <v>1000</v>
      </c>
      <c r="E33" s="5">
        <v>85</v>
      </c>
      <c r="F33" s="49">
        <f>D33/365.25*E33</f>
        <v>232.7173169062286</v>
      </c>
      <c r="G33" s="146">
        <f>((C33-B33)*(13.39+0.168*(C33+B33)))*D33/1000</f>
        <v>2929.1620000000003</v>
      </c>
      <c r="H33" s="146">
        <f>$G$33/2.929*$C$11</f>
        <v>2570.1421440764766</v>
      </c>
      <c r="I33" s="146">
        <f>$G$33/2.929*$D$11</f>
        <v>368.020353704336</v>
      </c>
      <c r="J33" s="146">
        <f>(C33-B33)*(4+0.03*(C33+B33))*D33/1000</f>
        <v>650.1700000000001</v>
      </c>
      <c r="K33" s="146">
        <f>J33*F11/$E$11</f>
        <v>652.1705230769231</v>
      </c>
      <c r="L33" s="49">
        <f>F33*(C33+B33)/2*$G$11/1000</f>
        <v>4921.971252566735</v>
      </c>
      <c r="M33" s="49">
        <f>F33*(C33+B33)/2*$H$11/1000</f>
        <v>2460.9856262833673</v>
      </c>
      <c r="N33" s="49">
        <f>D33*((40-B33)/5167+(87-40)/3088+(C33-87)/2254)</f>
        <v>27.166111994725643</v>
      </c>
    </row>
    <row r="34" spans="1:14" ht="15">
      <c r="A34" s="11" t="s">
        <v>78</v>
      </c>
      <c r="B34" s="101">
        <v>31</v>
      </c>
      <c r="C34" s="101">
        <v>110</v>
      </c>
      <c r="D34" s="5">
        <v>1000</v>
      </c>
      <c r="E34" s="5">
        <v>85</v>
      </c>
      <c r="F34" s="49">
        <f>D34/365.25*E34</f>
        <v>232.7173169062286</v>
      </c>
      <c r="G34" s="146">
        <f>((C34-B34)*(13.39+0.168*(C34+B34)))*D34/1000</f>
        <v>2929.1620000000003</v>
      </c>
      <c r="H34" s="146">
        <f>$G$34/2.929*$C$12</f>
        <v>2490.1377193581434</v>
      </c>
      <c r="I34" s="146">
        <f>$G$34/2.929*$D$12</f>
        <v>443.02450187777407</v>
      </c>
      <c r="J34" s="146">
        <f>(C34-B34)*(4+0.03*(C34+B34))*D34/1000</f>
        <v>650.1700000000001</v>
      </c>
      <c r="K34" s="146">
        <f>J34*$F$12/$E$12</f>
        <v>650.1700000000001</v>
      </c>
      <c r="L34" s="49">
        <f>F34*(C34+B34)/2*$G$12/1000</f>
        <v>7382.956878850102</v>
      </c>
      <c r="M34" s="49">
        <f>F34*(C34+B34)/2*$H$12/1000</f>
        <v>2460.9856262833673</v>
      </c>
      <c r="N34" s="49">
        <f>D34*((40-B34)/5167+(87-40)/3088+(C34-87)/2254)</f>
        <v>27.166111994725643</v>
      </c>
    </row>
    <row r="35" spans="1:14" ht="15">
      <c r="A35" s="126" t="s">
        <v>98</v>
      </c>
      <c r="B35" s="52"/>
      <c r="C35" s="52"/>
      <c r="D35" s="52">
        <f>SUM(D32:D34)</f>
        <v>3000</v>
      </c>
      <c r="E35" s="52"/>
      <c r="F35" s="98">
        <f aca="true" t="shared" si="3" ref="F35:N35">SUM(F32:F34)</f>
        <v>698.1519507186858</v>
      </c>
      <c r="G35" s="98">
        <f t="shared" si="3"/>
        <v>8787.486</v>
      </c>
      <c r="H35" s="98">
        <f t="shared" si="3"/>
        <v>7710.426432229431</v>
      </c>
      <c r="I35" s="98">
        <f t="shared" si="3"/>
        <v>1104.061061113008</v>
      </c>
      <c r="J35" s="98">
        <f t="shared" si="3"/>
        <v>1950.5100000000002</v>
      </c>
      <c r="K35" s="98">
        <f t="shared" si="3"/>
        <v>1954.5110461538463</v>
      </c>
      <c r="L35" s="98">
        <f t="shared" si="3"/>
        <v>17226.89938398357</v>
      </c>
      <c r="M35" s="98">
        <f t="shared" si="3"/>
        <v>7382.956878850102</v>
      </c>
      <c r="N35" s="98">
        <f t="shared" si="3"/>
        <v>81.49833598417693</v>
      </c>
    </row>
    <row r="36" spans="1:14" ht="15">
      <c r="A36" s="39" t="s">
        <v>160</v>
      </c>
      <c r="B36" s="5">
        <v>100</v>
      </c>
      <c r="C36" s="119" t="s">
        <v>129</v>
      </c>
      <c r="D36" s="41"/>
      <c r="E36" s="5">
        <v>22.5</v>
      </c>
      <c r="F36" s="119" t="s">
        <v>158</v>
      </c>
      <c r="G36" s="41"/>
      <c r="H36" s="41"/>
      <c r="I36" s="41">
        <f>100-E36</f>
        <v>77.5</v>
      </c>
      <c r="J36" s="41"/>
      <c r="K36" s="41"/>
      <c r="L36" s="41"/>
      <c r="M36" s="41"/>
      <c r="N36" s="49">
        <f>B36/4.4</f>
        <v>22.727272727272727</v>
      </c>
    </row>
    <row r="37" spans="1:14" ht="15">
      <c r="A37" s="39" t="s">
        <v>117</v>
      </c>
      <c r="B37" s="119"/>
      <c r="C37" s="41"/>
      <c r="D37" s="41" t="s">
        <v>130</v>
      </c>
      <c r="E37" s="41"/>
      <c r="F37" s="41" t="s">
        <v>131</v>
      </c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 t="s">
        <v>127</v>
      </c>
      <c r="B38" s="11"/>
      <c r="C38" s="11"/>
      <c r="D38" s="5">
        <v>50</v>
      </c>
      <c r="E38" s="41"/>
      <c r="F38" s="67">
        <f>$B$36*$E$36/100*D38/100</f>
        <v>11.25</v>
      </c>
      <c r="G38" s="49">
        <f>$B$36*$D$38/100*B15</f>
        <v>372</v>
      </c>
      <c r="H38" s="49">
        <f>$B$36*$D$38/100*C15</f>
        <v>330.5</v>
      </c>
      <c r="I38" s="49">
        <f>$B$36*$D$38/100*D15</f>
        <v>41.8</v>
      </c>
      <c r="J38" s="49">
        <f>$B$36*$D$38/100*E15</f>
        <v>81.27</v>
      </c>
      <c r="K38" s="49">
        <f>$B$36*$D$38/100*F15</f>
        <v>81.25</v>
      </c>
      <c r="L38" s="49">
        <f>$F38*G15</f>
        <v>810</v>
      </c>
      <c r="M38" s="49">
        <f>$F38*H15</f>
        <v>148.5</v>
      </c>
      <c r="N38" s="11"/>
    </row>
    <row r="39" spans="1:14" ht="15">
      <c r="A39" s="11" t="s">
        <v>128</v>
      </c>
      <c r="B39" s="11"/>
      <c r="C39" s="11"/>
      <c r="D39" s="5">
        <v>50</v>
      </c>
      <c r="E39" s="41"/>
      <c r="F39" s="67">
        <f>$B$36*$E$36/100*D39/100</f>
        <v>11.25</v>
      </c>
      <c r="G39" s="49">
        <f>$B$36*$D$39/100*B16</f>
        <v>372</v>
      </c>
      <c r="H39" s="49">
        <f>$B$36*$D$39/100*C16</f>
        <v>295.5</v>
      </c>
      <c r="I39" s="49">
        <f>$B$36*$D$39/100*D16</f>
        <v>76.7</v>
      </c>
      <c r="J39" s="49">
        <f>$B$36*$D$39/100*E16</f>
        <v>81.27</v>
      </c>
      <c r="K39" s="49">
        <f>$B$36*$D$39/100*F16</f>
        <v>81.25</v>
      </c>
      <c r="L39" s="49">
        <f>$F39*G16</f>
        <v>1125</v>
      </c>
      <c r="M39" s="49">
        <f>$F39*H16</f>
        <v>148.5</v>
      </c>
      <c r="N39" s="11"/>
    </row>
    <row r="40" spans="1:14" ht="15">
      <c r="A40" s="11" t="s">
        <v>134</v>
      </c>
      <c r="B40" s="51"/>
      <c r="C40" s="51"/>
      <c r="D40" s="52">
        <f>D38+D39</f>
        <v>100</v>
      </c>
      <c r="E40" s="52"/>
      <c r="F40" s="52">
        <f>F38+F39</f>
        <v>22.5</v>
      </c>
      <c r="G40" s="98">
        <f aca="true" t="shared" si="4" ref="G40:M40">G38+G39</f>
        <v>744</v>
      </c>
      <c r="H40" s="98">
        <f t="shared" si="4"/>
        <v>626</v>
      </c>
      <c r="I40" s="98">
        <f t="shared" si="4"/>
        <v>118.5</v>
      </c>
      <c r="J40" s="98">
        <f t="shared" si="4"/>
        <v>162.54</v>
      </c>
      <c r="K40" s="98">
        <f t="shared" si="4"/>
        <v>162.5</v>
      </c>
      <c r="L40" s="98">
        <f t="shared" si="4"/>
        <v>1935</v>
      </c>
      <c r="M40" s="98">
        <f t="shared" si="4"/>
        <v>297</v>
      </c>
      <c r="N40" s="11"/>
    </row>
    <row r="41" spans="1:14" ht="15">
      <c r="A41" s="39" t="s">
        <v>93</v>
      </c>
      <c r="B41" s="119"/>
      <c r="C41" s="41"/>
      <c r="D41" s="41" t="s">
        <v>132</v>
      </c>
      <c r="E41" s="41"/>
      <c r="F41" s="41"/>
      <c r="G41" s="41"/>
      <c r="H41" s="41"/>
      <c r="I41" s="41"/>
      <c r="J41" s="41"/>
      <c r="K41" s="41"/>
      <c r="L41" s="41"/>
      <c r="M41" s="41"/>
      <c r="N41" s="11"/>
    </row>
    <row r="42" spans="1:14" ht="15">
      <c r="A42" s="11" t="s">
        <v>164</v>
      </c>
      <c r="B42" s="11"/>
      <c r="C42" s="11"/>
      <c r="D42" s="5">
        <v>10</v>
      </c>
      <c r="E42" s="11"/>
      <c r="F42" s="67">
        <f aca="true" t="shared" si="5" ref="F42:F47">$B$36*$I$36/100*D42/100</f>
        <v>7.75</v>
      </c>
      <c r="G42" s="49">
        <f>$B$36*$D$42/100*B18</f>
        <v>173.6</v>
      </c>
      <c r="H42" s="49">
        <f>$B$36*$D$42/100*C18</f>
        <v>158.8</v>
      </c>
      <c r="I42" s="49">
        <f>$B$36*$D$42/100*D18</f>
        <v>20.19</v>
      </c>
      <c r="J42" s="49">
        <f>$B$36*$D$42/100*E18</f>
        <v>37.925999999999995</v>
      </c>
      <c r="K42" s="49">
        <f>$B$36*$D$42/100*F18</f>
        <v>37.93</v>
      </c>
      <c r="L42" s="49">
        <f aca="true" t="shared" si="6" ref="L42:L47">F42*G18</f>
        <v>124</v>
      </c>
      <c r="M42" s="49">
        <f aca="true" t="shared" si="7" ref="M42:M47">F42*H18</f>
        <v>102.3</v>
      </c>
      <c r="N42" s="11"/>
    </row>
    <row r="43" spans="1:14" ht="15">
      <c r="A43" s="11" t="s">
        <v>163</v>
      </c>
      <c r="B43" s="11"/>
      <c r="C43" s="11"/>
      <c r="D43" s="5">
        <v>10</v>
      </c>
      <c r="E43" s="11"/>
      <c r="F43" s="67">
        <f t="shared" si="5"/>
        <v>7.75</v>
      </c>
      <c r="G43" s="49">
        <f>$B$36*$D$43/100*B19</f>
        <v>173.6</v>
      </c>
      <c r="H43" s="49">
        <f>$B$36*$D$43/100*C19</f>
        <v>151</v>
      </c>
      <c r="I43" s="49">
        <f>$B$36*$D$43/100*D19</f>
        <v>27.959999999999997</v>
      </c>
      <c r="J43" s="49">
        <f>$B$36*$D$43/100*E19</f>
        <v>37.925999999999995</v>
      </c>
      <c r="K43" s="49">
        <f>$B$36*$D$43/100*F19</f>
        <v>37.93</v>
      </c>
      <c r="L43" s="49">
        <f t="shared" si="6"/>
        <v>124</v>
      </c>
      <c r="M43" s="49">
        <f t="shared" si="7"/>
        <v>102.3</v>
      </c>
      <c r="N43" s="11"/>
    </row>
    <row r="44" spans="1:14" ht="15">
      <c r="A44" s="11" t="s">
        <v>165</v>
      </c>
      <c r="B44" s="11"/>
      <c r="C44" s="11"/>
      <c r="D44" s="5">
        <v>10</v>
      </c>
      <c r="E44" s="11"/>
      <c r="F44" s="67">
        <f t="shared" si="5"/>
        <v>7.75</v>
      </c>
      <c r="G44" s="49">
        <f>$B$36*$D$44/100*B20</f>
        <v>173.6</v>
      </c>
      <c r="H44" s="49">
        <f>$B$36*$D$44/100*C20</f>
        <v>152.10000000000002</v>
      </c>
      <c r="I44" s="49">
        <f>$B$36*$D$44/100*D20</f>
        <v>28.66</v>
      </c>
      <c r="J44" s="49">
        <f>$B$36*$D$44/100*E20</f>
        <v>37.925999999999995</v>
      </c>
      <c r="K44" s="49">
        <f>$B$36*$D$44/100*F20</f>
        <v>39.54</v>
      </c>
      <c r="L44" s="49">
        <f t="shared" si="6"/>
        <v>124</v>
      </c>
      <c r="M44" s="49">
        <f t="shared" si="7"/>
        <v>102.3</v>
      </c>
      <c r="N44" s="11"/>
    </row>
    <row r="45" spans="1:14" ht="15">
      <c r="A45" s="11" t="s">
        <v>166</v>
      </c>
      <c r="B45" s="11"/>
      <c r="C45" s="11"/>
      <c r="D45" s="5">
        <v>10</v>
      </c>
      <c r="E45" s="11"/>
      <c r="F45" s="67">
        <f t="shared" si="5"/>
        <v>7.75</v>
      </c>
      <c r="G45" s="49">
        <f>$B$36*$D$45/100*B21</f>
        <v>173.6</v>
      </c>
      <c r="H45" s="49">
        <f>$B$36*$D$45/100*C21</f>
        <v>149.5</v>
      </c>
      <c r="I45" s="49">
        <f>$B$36*$D$45/100*D21</f>
        <v>31.259999999999998</v>
      </c>
      <c r="J45" s="49">
        <f>$B$36*$D$45/100*E21</f>
        <v>37.925999999999995</v>
      </c>
      <c r="K45" s="49">
        <f>$B$36*$D$45/100*F21</f>
        <v>39.54</v>
      </c>
      <c r="L45" s="49">
        <f t="shared" si="6"/>
        <v>124</v>
      </c>
      <c r="M45" s="49">
        <f t="shared" si="7"/>
        <v>102.3</v>
      </c>
      <c r="N45" s="11"/>
    </row>
    <row r="46" spans="1:14" ht="15">
      <c r="A46" s="11" t="s">
        <v>108</v>
      </c>
      <c r="B46" s="11"/>
      <c r="C46" s="11"/>
      <c r="D46" s="5">
        <v>10</v>
      </c>
      <c r="E46" s="11"/>
      <c r="F46" s="67">
        <f t="shared" si="5"/>
        <v>7.75</v>
      </c>
      <c r="G46" s="49">
        <f>$B$36*$D$46/100*B22</f>
        <v>173.6</v>
      </c>
      <c r="H46" s="49">
        <f>$B$36*$D$46/100*C22</f>
        <v>141.7</v>
      </c>
      <c r="I46" s="49">
        <f>$B$36*$D$46/100*D22</f>
        <v>37.61</v>
      </c>
      <c r="J46" s="49">
        <f>$B$36*$D$46/100*E22</f>
        <v>37.925999999999995</v>
      </c>
      <c r="K46" s="49">
        <f>$B$36*$D$46/100*F22</f>
        <v>42.089999999999996</v>
      </c>
      <c r="L46" s="49">
        <f t="shared" si="6"/>
        <v>124</v>
      </c>
      <c r="M46" s="49">
        <f t="shared" si="7"/>
        <v>102.3</v>
      </c>
      <c r="N46" s="11"/>
    </row>
    <row r="47" spans="1:14" ht="15">
      <c r="A47" s="11" t="s">
        <v>167</v>
      </c>
      <c r="B47" s="11"/>
      <c r="C47" s="11"/>
      <c r="D47" s="5">
        <v>50</v>
      </c>
      <c r="E47" s="11"/>
      <c r="F47" s="67">
        <f t="shared" si="5"/>
        <v>38.75</v>
      </c>
      <c r="G47" s="49">
        <f>$B$36*$D$47/100*B23</f>
        <v>868</v>
      </c>
      <c r="H47" s="49">
        <f>$B$36*$D$47/100*C23</f>
        <v>783</v>
      </c>
      <c r="I47" s="49">
        <f>$B$36*$D$47/100*D23</f>
        <v>120.30000000000001</v>
      </c>
      <c r="J47" s="49">
        <f>$B$36*$D$47/100*E23</f>
        <v>189.63</v>
      </c>
      <c r="K47" s="49">
        <f>$B$36*$D$47/100*F23</f>
        <v>190.79999999999998</v>
      </c>
      <c r="L47" s="49">
        <f t="shared" si="6"/>
        <v>620</v>
      </c>
      <c r="M47" s="49">
        <f t="shared" si="7"/>
        <v>511.5</v>
      </c>
      <c r="N47" s="11"/>
    </row>
    <row r="48" spans="1:14" ht="15">
      <c r="A48" s="51" t="s">
        <v>136</v>
      </c>
      <c r="B48" s="51"/>
      <c r="C48" s="51"/>
      <c r="D48" s="52">
        <f>D42+D43+D44+D45+D46+D47</f>
        <v>100</v>
      </c>
      <c r="E48" s="52"/>
      <c r="F48" s="52">
        <f aca="true" t="shared" si="8" ref="F48:M48">F42+F43+F44+F45+F46+F47</f>
        <v>77.5</v>
      </c>
      <c r="G48" s="98">
        <f t="shared" si="8"/>
        <v>1736</v>
      </c>
      <c r="H48" s="98">
        <f t="shared" si="8"/>
        <v>1536.1000000000001</v>
      </c>
      <c r="I48" s="98">
        <f t="shared" si="8"/>
        <v>265.98</v>
      </c>
      <c r="J48" s="98">
        <f t="shared" si="8"/>
        <v>379.26</v>
      </c>
      <c r="K48" s="98">
        <f t="shared" si="8"/>
        <v>387.83</v>
      </c>
      <c r="L48" s="98">
        <f t="shared" si="8"/>
        <v>1240</v>
      </c>
      <c r="M48" s="98">
        <f t="shared" si="8"/>
        <v>1023</v>
      </c>
      <c r="N48" s="51"/>
    </row>
    <row r="49" spans="1:14" ht="15">
      <c r="A49" s="105" t="s">
        <v>92</v>
      </c>
      <c r="B49" s="103"/>
      <c r="C49" s="103"/>
      <c r="D49" s="103"/>
      <c r="E49" s="103" t="s">
        <v>56</v>
      </c>
      <c r="F49" s="104"/>
      <c r="G49" s="99">
        <f aca="true" t="shared" si="9" ref="G49:M49">G30+G35+G40+G48</f>
        <v>12213.48624</v>
      </c>
      <c r="H49" s="99">
        <f t="shared" si="9"/>
        <v>10722.526647874252</v>
      </c>
      <c r="I49" s="99">
        <f t="shared" si="9"/>
        <v>1587.741086280027</v>
      </c>
      <c r="J49" s="99">
        <f t="shared" si="9"/>
        <v>2738.1454000000003</v>
      </c>
      <c r="K49" s="99">
        <f t="shared" si="9"/>
        <v>2750.6764461538464</v>
      </c>
      <c r="L49" s="99">
        <f t="shared" si="9"/>
        <v>22542.383983572894</v>
      </c>
      <c r="M49" s="99">
        <f t="shared" si="9"/>
        <v>9885.856262833675</v>
      </c>
      <c r="N49" s="128">
        <f>N30+N35+N36</f>
        <v>113.47662477492943</v>
      </c>
    </row>
    <row r="50" spans="1:14" ht="18.75">
      <c r="A50" s="95" t="s">
        <v>394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7" t="s">
        <v>73</v>
      </c>
    </row>
    <row r="51" spans="1:14" ht="15">
      <c r="A51" s="18"/>
      <c r="B51" s="27" t="s">
        <v>86</v>
      </c>
      <c r="C51" s="27" t="s">
        <v>87</v>
      </c>
      <c r="D51" s="27" t="s">
        <v>88</v>
      </c>
      <c r="E51" s="27" t="s">
        <v>94</v>
      </c>
      <c r="F51" s="27" t="s">
        <v>89</v>
      </c>
      <c r="G51" s="27" t="s">
        <v>81</v>
      </c>
      <c r="H51" s="27" t="s">
        <v>82</v>
      </c>
      <c r="I51" s="27" t="s">
        <v>83</v>
      </c>
      <c r="J51" s="27" t="s">
        <v>84</v>
      </c>
      <c r="K51" s="27" t="s">
        <v>85</v>
      </c>
      <c r="L51" s="27" t="s">
        <v>90</v>
      </c>
      <c r="M51" s="27" t="s">
        <v>91</v>
      </c>
      <c r="N51" s="27">
        <v>2010</v>
      </c>
    </row>
    <row r="52" spans="1:14" ht="15">
      <c r="A52" s="17" t="s">
        <v>96</v>
      </c>
      <c r="B52" s="27"/>
      <c r="C52" s="27"/>
      <c r="D52" s="27"/>
      <c r="E52" s="27"/>
      <c r="F52" s="27"/>
      <c r="G52" s="27" t="s">
        <v>95</v>
      </c>
      <c r="H52" s="27" t="s">
        <v>95</v>
      </c>
      <c r="I52" s="27" t="s">
        <v>95</v>
      </c>
      <c r="J52" s="27" t="s">
        <v>95</v>
      </c>
      <c r="K52" s="27" t="s">
        <v>95</v>
      </c>
      <c r="L52" s="27"/>
      <c r="M52" s="27"/>
      <c r="N52" s="27" t="s">
        <v>162</v>
      </c>
    </row>
    <row r="53" spans="1:14" ht="15">
      <c r="A53" s="18" t="s">
        <v>77</v>
      </c>
      <c r="B53" s="101">
        <v>7.1</v>
      </c>
      <c r="C53" s="101">
        <v>31</v>
      </c>
      <c r="D53" s="5">
        <v>1000</v>
      </c>
      <c r="E53" s="5">
        <v>54</v>
      </c>
      <c r="F53" s="32">
        <f>D53/365.25*E53</f>
        <v>147.84394250513347</v>
      </c>
      <c r="G53" s="147">
        <f>((C53-B53)*(13.39+0.168*(C53+B53)))*D53/1000</f>
        <v>473.00012</v>
      </c>
      <c r="H53" s="147">
        <f>$G$53/0.473*$C$7</f>
        <v>440.00011162790696</v>
      </c>
      <c r="I53" s="147">
        <f>$G$53/0.473*$D$7</f>
        <v>34.50000875264271</v>
      </c>
      <c r="J53" s="147">
        <f>(C53-B53)*(4+0.03*(C53+B53))*D53/1000</f>
        <v>122.91769999999998</v>
      </c>
      <c r="K53" s="147">
        <f>J53*$F$7/$E$7</f>
        <v>122.91769999999998</v>
      </c>
      <c r="L53" s="32">
        <f>$F$53*($C$53+$B$53)/2*$G$7/1000</f>
        <v>1070.2422997946612</v>
      </c>
      <c r="M53" s="32">
        <f>$F$53*($C$53+$B$53)/2*$H$7/1000</f>
        <v>591.4496919917865</v>
      </c>
      <c r="N53" s="32">
        <f>(C53-B53)*D53/5167</f>
        <v>4.625508031739888</v>
      </c>
    </row>
    <row r="54" spans="1:14" ht="15">
      <c r="A54" s="18" t="s">
        <v>78</v>
      </c>
      <c r="B54" s="101">
        <v>7.1</v>
      </c>
      <c r="C54" s="101">
        <v>31</v>
      </c>
      <c r="D54" s="5">
        <v>1000</v>
      </c>
      <c r="E54" s="5">
        <v>54</v>
      </c>
      <c r="F54" s="32">
        <f>D54/365.25*E54</f>
        <v>147.84394250513347</v>
      </c>
      <c r="G54" s="147">
        <f>((C54-B54)*(13.39+0.168*(C54+B54)))*D54/1000</f>
        <v>473.00012</v>
      </c>
      <c r="H54" s="147">
        <f>$G$54/0.473*$C$8</f>
        <v>410.00010401691327</v>
      </c>
      <c r="I54" s="147">
        <f>$G$54/0.473*$D$8</f>
        <v>64.70001641437631</v>
      </c>
      <c r="J54" s="147">
        <f>(C54-B54)*(4+0.03*(C54+B54))*D54/1000</f>
        <v>122.91769999999998</v>
      </c>
      <c r="K54" s="147">
        <f>J54*$F$8/$E$8</f>
        <v>122.91769999999998</v>
      </c>
      <c r="L54" s="32">
        <f>$F$54*($C$54+$B$54)/2*$G$8/1000</f>
        <v>1070.2422997946612</v>
      </c>
      <c r="M54" s="32">
        <f>$F$54*($C$54+$B$54)/2*$H$8/1000</f>
        <v>591.4496919917865</v>
      </c>
      <c r="N54" s="32">
        <f>(C54-B54)*D54/5167</f>
        <v>4.625508031739888</v>
      </c>
    </row>
    <row r="55" spans="1:14" ht="15">
      <c r="A55" s="127" t="s">
        <v>114</v>
      </c>
      <c r="B55" s="100"/>
      <c r="C55" s="100"/>
      <c r="D55" s="100">
        <f>D53+D54</f>
        <v>2000</v>
      </c>
      <c r="E55" s="100"/>
      <c r="F55" s="96">
        <f aca="true" t="shared" si="10" ref="F55:N55">F53+F54</f>
        <v>295.68788501026694</v>
      </c>
      <c r="G55" s="96">
        <f t="shared" si="10"/>
        <v>946.00024</v>
      </c>
      <c r="H55" s="96">
        <f t="shared" si="10"/>
        <v>850.0002156448202</v>
      </c>
      <c r="I55" s="96">
        <f t="shared" si="10"/>
        <v>99.20002516701902</v>
      </c>
      <c r="J55" s="96">
        <f t="shared" si="10"/>
        <v>245.83539999999996</v>
      </c>
      <c r="K55" s="96">
        <f t="shared" si="10"/>
        <v>245.83539999999996</v>
      </c>
      <c r="L55" s="96">
        <f t="shared" si="10"/>
        <v>2140.4845995893224</v>
      </c>
      <c r="M55" s="96">
        <f t="shared" si="10"/>
        <v>1182.899383983573</v>
      </c>
      <c r="N55" s="96">
        <f t="shared" si="10"/>
        <v>9.251016063479776</v>
      </c>
    </row>
    <row r="56" spans="1:14" ht="15">
      <c r="A56" s="17" t="s">
        <v>97</v>
      </c>
      <c r="B56" s="18"/>
      <c r="C56" s="18"/>
      <c r="D56" s="18"/>
      <c r="E56" s="18"/>
      <c r="F56" s="86"/>
      <c r="G56" s="18"/>
      <c r="H56" s="18"/>
      <c r="I56" s="18"/>
      <c r="J56" s="18"/>
      <c r="K56" s="18"/>
      <c r="L56" s="18"/>
      <c r="M56" s="18"/>
      <c r="N56" s="27"/>
    </row>
    <row r="57" spans="1:14" ht="15">
      <c r="A57" s="18" t="s">
        <v>75</v>
      </c>
      <c r="B57" s="101">
        <v>31</v>
      </c>
      <c r="C57" s="101">
        <v>110</v>
      </c>
      <c r="D57" s="5">
        <v>1000</v>
      </c>
      <c r="E57" s="5">
        <v>85</v>
      </c>
      <c r="F57" s="32">
        <f>D57/365.25*E57</f>
        <v>232.7173169062286</v>
      </c>
      <c r="G57" s="147">
        <f>((C57-B57)*(13.39+0.168*(C57+B57)))*D57/1000</f>
        <v>2929.1620000000003</v>
      </c>
      <c r="H57" s="147">
        <f>$G$57/2.929*$C$10</f>
        <v>2650.1465687948107</v>
      </c>
      <c r="I57" s="147">
        <f>$G$57/2.929*$D$10</f>
        <v>293.01620553089793</v>
      </c>
      <c r="J57" s="147">
        <f>(C57-B57)*(4+0.03*(C57+B57))*D57/1000</f>
        <v>650.1700000000001</v>
      </c>
      <c r="K57" s="147">
        <f>J57*$F$10/$E$10</f>
        <v>652.1705230769231</v>
      </c>
      <c r="L57" s="32">
        <f>F57*(C57+B57)/2*$G$10/1000</f>
        <v>4921.971252566735</v>
      </c>
      <c r="M57" s="32">
        <f>F57*(C57+B57)/2*$H$10/1000</f>
        <v>2460.9856262833673</v>
      </c>
      <c r="N57" s="32">
        <f>D57*((40-B57)/5167+(87-40)/3088+(C57-87)/2254)</f>
        <v>27.166111994725643</v>
      </c>
    </row>
    <row r="58" spans="1:14" ht="15">
      <c r="A58" s="18" t="s">
        <v>76</v>
      </c>
      <c r="B58" s="101">
        <v>31</v>
      </c>
      <c r="C58" s="101">
        <v>110</v>
      </c>
      <c r="D58" s="5">
        <v>1000</v>
      </c>
      <c r="E58" s="5">
        <v>85</v>
      </c>
      <c r="F58" s="32">
        <f>D58/365.25*E58</f>
        <v>232.7173169062286</v>
      </c>
      <c r="G58" s="147">
        <f>((C58-B58)*(13.39+0.168*(C58+B58)))*D58/1000</f>
        <v>2929.1620000000003</v>
      </c>
      <c r="H58" s="147">
        <f>$G$58/2.929*$C$11</f>
        <v>2570.1421440764766</v>
      </c>
      <c r="I58" s="147">
        <f>$G$58/2.929*$D$11</f>
        <v>368.020353704336</v>
      </c>
      <c r="J58" s="147">
        <f>(C58-B58)*(4+0.03*(C58+B58))*D58/1000</f>
        <v>650.1700000000001</v>
      </c>
      <c r="K58" s="147">
        <f>J58*$F$11/$E$11</f>
        <v>652.1705230769231</v>
      </c>
      <c r="L58" s="32">
        <f>F58*(C58+B58)/2*$G$11/1000</f>
        <v>4921.971252566735</v>
      </c>
      <c r="M58" s="32">
        <f>F58*(C58+B58)/2*$H$11/1000</f>
        <v>2460.9856262833673</v>
      </c>
      <c r="N58" s="32">
        <f>D58*((40-B58)/5167+(87-40)/3088+(C58-87)/2254)</f>
        <v>27.166111994725643</v>
      </c>
    </row>
    <row r="59" spans="1:14" ht="15">
      <c r="A59" s="18" t="s">
        <v>78</v>
      </c>
      <c r="B59" s="101">
        <v>31</v>
      </c>
      <c r="C59" s="101">
        <v>110</v>
      </c>
      <c r="D59" s="5">
        <v>1000</v>
      </c>
      <c r="E59" s="5">
        <v>85</v>
      </c>
      <c r="F59" s="32">
        <f>D59/365.25*E59</f>
        <v>232.7173169062286</v>
      </c>
      <c r="G59" s="147">
        <f>((C59-B59)*(13.39+0.168*(C59+B59)))*D59/1000</f>
        <v>2929.1620000000003</v>
      </c>
      <c r="H59" s="147">
        <f>$G$59/2.929*$C$12</f>
        <v>2490.1377193581434</v>
      </c>
      <c r="I59" s="147">
        <f>$G$59/2.929*$D$12</f>
        <v>443.02450187777407</v>
      </c>
      <c r="J59" s="147">
        <f>(C59-B59)*(4+0.03*(C59+B59))*D59/1000</f>
        <v>650.1700000000001</v>
      </c>
      <c r="K59" s="147">
        <f>J59*$F$12/$E$12</f>
        <v>650.1700000000001</v>
      </c>
      <c r="L59" s="32">
        <f>F59*(C59+B59)/2*$G$12/1000</f>
        <v>7382.956878850102</v>
      </c>
      <c r="M59" s="32">
        <f>F59*(C59+B59)/2*$H$12/1000</f>
        <v>2460.9856262833673</v>
      </c>
      <c r="N59" s="32">
        <f>D59*((40-B59)/5167+(87-40)/3088+(C59-87)/2254)</f>
        <v>27.166111994725643</v>
      </c>
    </row>
    <row r="60" spans="1:14" ht="15">
      <c r="A60" s="127" t="s">
        <v>98</v>
      </c>
      <c r="B60" s="100"/>
      <c r="C60" s="100"/>
      <c r="D60" s="100">
        <f>SUM(D57:D59)</f>
        <v>3000</v>
      </c>
      <c r="E60" s="100"/>
      <c r="F60" s="96">
        <f aca="true" t="shared" si="11" ref="F60:N60">SUM(F57:F59)</f>
        <v>698.1519507186858</v>
      </c>
      <c r="G60" s="96">
        <f t="shared" si="11"/>
        <v>8787.486</v>
      </c>
      <c r="H60" s="96">
        <f t="shared" si="11"/>
        <v>7710.426432229431</v>
      </c>
      <c r="I60" s="96">
        <f t="shared" si="11"/>
        <v>1104.061061113008</v>
      </c>
      <c r="J60" s="96">
        <f t="shared" si="11"/>
        <v>1950.5100000000002</v>
      </c>
      <c r="K60" s="96">
        <f t="shared" si="11"/>
        <v>1954.5110461538463</v>
      </c>
      <c r="L60" s="96">
        <f t="shared" si="11"/>
        <v>17226.89938398357</v>
      </c>
      <c r="M60" s="96">
        <f t="shared" si="11"/>
        <v>7382.956878850102</v>
      </c>
      <c r="N60" s="96">
        <f t="shared" si="11"/>
        <v>81.49833598417693</v>
      </c>
    </row>
    <row r="61" spans="1:14" ht="15">
      <c r="A61" s="17" t="s">
        <v>161</v>
      </c>
      <c r="B61" s="5">
        <v>100</v>
      </c>
      <c r="C61" s="118" t="s">
        <v>129</v>
      </c>
      <c r="D61" s="27"/>
      <c r="E61" s="5">
        <v>22.5</v>
      </c>
      <c r="F61" s="118" t="s">
        <v>159</v>
      </c>
      <c r="G61" s="27"/>
      <c r="H61" s="27"/>
      <c r="I61" s="27">
        <f>100-E61</f>
        <v>77.5</v>
      </c>
      <c r="J61" s="27"/>
      <c r="K61" s="27"/>
      <c r="L61" s="27"/>
      <c r="M61" s="27"/>
      <c r="N61" s="32">
        <f>B61/4.4</f>
        <v>22.727272727272727</v>
      </c>
    </row>
    <row r="62" spans="1:14" ht="15">
      <c r="A62" s="17" t="s">
        <v>117</v>
      </c>
      <c r="B62" s="118"/>
      <c r="C62" s="27"/>
      <c r="D62" s="27" t="s">
        <v>130</v>
      </c>
      <c r="E62" s="27"/>
      <c r="F62" s="27" t="s">
        <v>131</v>
      </c>
      <c r="G62" s="27"/>
      <c r="H62" s="27"/>
      <c r="I62" s="27"/>
      <c r="J62" s="27"/>
      <c r="K62" s="27"/>
      <c r="L62" s="27"/>
      <c r="M62" s="27"/>
      <c r="N62" s="18"/>
    </row>
    <row r="63" spans="1:14" ht="15">
      <c r="A63" s="18" t="s">
        <v>127</v>
      </c>
      <c r="B63" s="27"/>
      <c r="C63" s="27"/>
      <c r="D63" s="5">
        <v>50</v>
      </c>
      <c r="E63" s="27"/>
      <c r="F63" s="61">
        <f>$B$61*$E$61/100*D63/100</f>
        <v>11.25</v>
      </c>
      <c r="G63" s="32">
        <f aca="true" t="shared" si="12" ref="G63:K64">$B$61*$D63/100*B15</f>
        <v>372</v>
      </c>
      <c r="H63" s="32">
        <f t="shared" si="12"/>
        <v>330.5</v>
      </c>
      <c r="I63" s="32">
        <f t="shared" si="12"/>
        <v>41.8</v>
      </c>
      <c r="J63" s="32">
        <f t="shared" si="12"/>
        <v>81.27</v>
      </c>
      <c r="K63" s="32">
        <f t="shared" si="12"/>
        <v>81.25</v>
      </c>
      <c r="L63" s="32">
        <f>$F63*G15</f>
        <v>810</v>
      </c>
      <c r="M63" s="32">
        <f>$F63*H15</f>
        <v>148.5</v>
      </c>
      <c r="N63" s="18"/>
    </row>
    <row r="64" spans="1:14" ht="15">
      <c r="A64" s="18" t="s">
        <v>128</v>
      </c>
      <c r="B64" s="27"/>
      <c r="C64" s="27"/>
      <c r="D64" s="5">
        <v>50</v>
      </c>
      <c r="E64" s="27"/>
      <c r="F64" s="61">
        <f>$B$61*$E$61/100*D64/100</f>
        <v>11.25</v>
      </c>
      <c r="G64" s="32">
        <f t="shared" si="12"/>
        <v>372</v>
      </c>
      <c r="H64" s="32">
        <f t="shared" si="12"/>
        <v>295.5</v>
      </c>
      <c r="I64" s="32">
        <f t="shared" si="12"/>
        <v>76.7</v>
      </c>
      <c r="J64" s="32">
        <f t="shared" si="12"/>
        <v>81.27</v>
      </c>
      <c r="K64" s="32">
        <f t="shared" si="12"/>
        <v>81.25</v>
      </c>
      <c r="L64" s="32">
        <f>$F64*G16</f>
        <v>1125</v>
      </c>
      <c r="M64" s="32">
        <f>$F64*H16</f>
        <v>148.5</v>
      </c>
      <c r="N64" s="18"/>
    </row>
    <row r="65" spans="1:14" ht="15">
      <c r="A65" s="4" t="s">
        <v>134</v>
      </c>
      <c r="B65" s="100"/>
      <c r="C65" s="100"/>
      <c r="D65" s="100">
        <f>D63+D64</f>
        <v>100</v>
      </c>
      <c r="E65" s="100"/>
      <c r="F65" s="100">
        <f aca="true" t="shared" si="13" ref="F65:M65">F63+F64</f>
        <v>22.5</v>
      </c>
      <c r="G65" s="96">
        <f t="shared" si="13"/>
        <v>744</v>
      </c>
      <c r="H65" s="96">
        <f t="shared" si="13"/>
        <v>626</v>
      </c>
      <c r="I65" s="96">
        <f t="shared" si="13"/>
        <v>118.5</v>
      </c>
      <c r="J65" s="96">
        <f t="shared" si="13"/>
        <v>162.54</v>
      </c>
      <c r="K65" s="96">
        <f t="shared" si="13"/>
        <v>162.5</v>
      </c>
      <c r="L65" s="96">
        <f t="shared" si="13"/>
        <v>1935</v>
      </c>
      <c r="M65" s="96">
        <f t="shared" si="13"/>
        <v>297</v>
      </c>
      <c r="N65" s="18"/>
    </row>
    <row r="66" spans="1:14" ht="15">
      <c r="A66" s="17" t="s">
        <v>93</v>
      </c>
      <c r="B66" s="118"/>
      <c r="C66" s="27"/>
      <c r="D66" s="27" t="s">
        <v>132</v>
      </c>
      <c r="E66" s="27"/>
      <c r="F66" s="27"/>
      <c r="G66" s="27"/>
      <c r="H66" s="27"/>
      <c r="I66" s="27"/>
      <c r="J66" s="27"/>
      <c r="K66" s="27"/>
      <c r="L66" s="27"/>
      <c r="M66" s="27"/>
      <c r="N66" s="18"/>
    </row>
    <row r="67" spans="1:14" ht="15">
      <c r="A67" s="18" t="s">
        <v>164</v>
      </c>
      <c r="B67" s="27"/>
      <c r="C67" s="18"/>
      <c r="D67" s="5">
        <v>10</v>
      </c>
      <c r="E67" s="27"/>
      <c r="F67" s="61">
        <f aca="true" t="shared" si="14" ref="F67:F72">$B$61*$I$61/100*D67/100</f>
        <v>7.75</v>
      </c>
      <c r="G67" s="32">
        <f aca="true" t="shared" si="15" ref="G67:K72">$B$61*$D67/100*B18</f>
        <v>173.6</v>
      </c>
      <c r="H67" s="32">
        <f t="shared" si="15"/>
        <v>158.8</v>
      </c>
      <c r="I67" s="32">
        <f t="shared" si="15"/>
        <v>20.19</v>
      </c>
      <c r="J67" s="32">
        <f t="shared" si="15"/>
        <v>37.925999999999995</v>
      </c>
      <c r="K67" s="32">
        <f t="shared" si="15"/>
        <v>37.93</v>
      </c>
      <c r="L67" s="32">
        <f aca="true" t="shared" si="16" ref="L67:L72">F67*G18</f>
        <v>124</v>
      </c>
      <c r="M67" s="32">
        <f aca="true" t="shared" si="17" ref="M67:M72">F67*H18</f>
        <v>102.3</v>
      </c>
      <c r="N67" s="18"/>
    </row>
    <row r="68" spans="1:14" ht="15">
      <c r="A68" s="18" t="s">
        <v>163</v>
      </c>
      <c r="B68" s="27"/>
      <c r="C68" s="18"/>
      <c r="D68" s="5">
        <v>10</v>
      </c>
      <c r="E68" s="27"/>
      <c r="F68" s="61">
        <f t="shared" si="14"/>
        <v>7.75</v>
      </c>
      <c r="G68" s="32">
        <f t="shared" si="15"/>
        <v>173.6</v>
      </c>
      <c r="H68" s="32">
        <f t="shared" si="15"/>
        <v>151</v>
      </c>
      <c r="I68" s="32">
        <f t="shared" si="15"/>
        <v>27.959999999999997</v>
      </c>
      <c r="J68" s="32">
        <f t="shared" si="15"/>
        <v>37.925999999999995</v>
      </c>
      <c r="K68" s="32">
        <f t="shared" si="15"/>
        <v>37.93</v>
      </c>
      <c r="L68" s="32">
        <f t="shared" si="16"/>
        <v>124</v>
      </c>
      <c r="M68" s="32">
        <f t="shared" si="17"/>
        <v>102.3</v>
      </c>
      <c r="N68" s="18"/>
    </row>
    <row r="69" spans="1:14" ht="15">
      <c r="A69" s="18" t="s">
        <v>165</v>
      </c>
      <c r="B69" s="27"/>
      <c r="C69" s="27" t="s">
        <v>56</v>
      </c>
      <c r="D69" s="5">
        <v>10</v>
      </c>
      <c r="E69" s="27"/>
      <c r="F69" s="61">
        <f t="shared" si="14"/>
        <v>7.75</v>
      </c>
      <c r="G69" s="32">
        <f t="shared" si="15"/>
        <v>173.6</v>
      </c>
      <c r="H69" s="32">
        <f t="shared" si="15"/>
        <v>152.10000000000002</v>
      </c>
      <c r="I69" s="32">
        <f t="shared" si="15"/>
        <v>28.66</v>
      </c>
      <c r="J69" s="32">
        <f t="shared" si="15"/>
        <v>37.925999999999995</v>
      </c>
      <c r="K69" s="32">
        <f t="shared" si="15"/>
        <v>39.54</v>
      </c>
      <c r="L69" s="32">
        <f t="shared" si="16"/>
        <v>124</v>
      </c>
      <c r="M69" s="32">
        <f t="shared" si="17"/>
        <v>102.3</v>
      </c>
      <c r="N69" s="82" t="s">
        <v>180</v>
      </c>
    </row>
    <row r="70" spans="1:14" ht="15">
      <c r="A70" s="18" t="s">
        <v>166</v>
      </c>
      <c r="B70" s="27"/>
      <c r="C70" s="27"/>
      <c r="D70" s="5">
        <v>10</v>
      </c>
      <c r="E70" s="27"/>
      <c r="F70" s="61">
        <f t="shared" si="14"/>
        <v>7.75</v>
      </c>
      <c r="G70" s="32">
        <f t="shared" si="15"/>
        <v>173.6</v>
      </c>
      <c r="H70" s="32">
        <f t="shared" si="15"/>
        <v>149.5</v>
      </c>
      <c r="I70" s="32">
        <f t="shared" si="15"/>
        <v>31.259999999999998</v>
      </c>
      <c r="J70" s="32">
        <f t="shared" si="15"/>
        <v>37.925999999999995</v>
      </c>
      <c r="K70" s="32">
        <f t="shared" si="15"/>
        <v>39.54</v>
      </c>
      <c r="L70" s="32">
        <f t="shared" si="16"/>
        <v>124</v>
      </c>
      <c r="M70" s="32">
        <f t="shared" si="17"/>
        <v>102.3</v>
      </c>
      <c r="N70" s="82" t="s">
        <v>181</v>
      </c>
    </row>
    <row r="71" spans="1:14" ht="15">
      <c r="A71" s="18" t="s">
        <v>108</v>
      </c>
      <c r="B71" s="27"/>
      <c r="C71" s="27"/>
      <c r="D71" s="5">
        <v>10</v>
      </c>
      <c r="E71" s="27"/>
      <c r="F71" s="61">
        <f t="shared" si="14"/>
        <v>7.75</v>
      </c>
      <c r="G71" s="32">
        <f t="shared" si="15"/>
        <v>173.6</v>
      </c>
      <c r="H71" s="32">
        <f t="shared" si="15"/>
        <v>141.7</v>
      </c>
      <c r="I71" s="32">
        <f t="shared" si="15"/>
        <v>37.61</v>
      </c>
      <c r="J71" s="32">
        <f t="shared" si="15"/>
        <v>37.925999999999995</v>
      </c>
      <c r="K71" s="32">
        <f t="shared" si="15"/>
        <v>42.089999999999996</v>
      </c>
      <c r="L71" s="32">
        <f t="shared" si="16"/>
        <v>124</v>
      </c>
      <c r="M71" s="32">
        <f t="shared" si="17"/>
        <v>102.3</v>
      </c>
      <c r="N71" s="82" t="s">
        <v>182</v>
      </c>
    </row>
    <row r="72" spans="1:14" ht="15">
      <c r="A72" s="18" t="s">
        <v>167</v>
      </c>
      <c r="B72" s="27"/>
      <c r="C72" s="27"/>
      <c r="D72" s="5">
        <v>50</v>
      </c>
      <c r="E72" s="27"/>
      <c r="F72" s="61">
        <f t="shared" si="14"/>
        <v>38.75</v>
      </c>
      <c r="G72" s="32">
        <f t="shared" si="15"/>
        <v>868</v>
      </c>
      <c r="H72" s="32">
        <f t="shared" si="15"/>
        <v>783</v>
      </c>
      <c r="I72" s="32">
        <f t="shared" si="15"/>
        <v>120.30000000000001</v>
      </c>
      <c r="J72" s="32">
        <f t="shared" si="15"/>
        <v>189.63</v>
      </c>
      <c r="K72" s="32">
        <f t="shared" si="15"/>
        <v>190.79999999999998</v>
      </c>
      <c r="L72" s="32">
        <f t="shared" si="16"/>
        <v>620</v>
      </c>
      <c r="M72" s="32">
        <f t="shared" si="17"/>
        <v>511.5</v>
      </c>
      <c r="N72" s="82" t="s">
        <v>73</v>
      </c>
    </row>
    <row r="73" spans="1:14" ht="15">
      <c r="A73" s="4" t="s">
        <v>135</v>
      </c>
      <c r="B73" s="100"/>
      <c r="C73" s="100"/>
      <c r="D73" s="100">
        <f>D67+D68+D69+D70+D71+D72</f>
        <v>100</v>
      </c>
      <c r="E73" s="100"/>
      <c r="F73" s="100">
        <f aca="true" t="shared" si="18" ref="F73:M73">F67+F68+F69+F70+F71+F72</f>
        <v>77.5</v>
      </c>
      <c r="G73" s="96">
        <f t="shared" si="18"/>
        <v>1736</v>
      </c>
      <c r="H73" s="96">
        <f t="shared" si="18"/>
        <v>1536.1000000000001</v>
      </c>
      <c r="I73" s="96">
        <f t="shared" si="18"/>
        <v>265.98</v>
      </c>
      <c r="J73" s="96">
        <f t="shared" si="18"/>
        <v>379.26</v>
      </c>
      <c r="K73" s="96">
        <f t="shared" si="18"/>
        <v>387.83</v>
      </c>
      <c r="L73" s="96">
        <f t="shared" si="18"/>
        <v>1240</v>
      </c>
      <c r="M73" s="96">
        <f t="shared" si="18"/>
        <v>1023</v>
      </c>
      <c r="N73" s="82"/>
    </row>
    <row r="74" spans="1:14" ht="15">
      <c r="A74" s="12" t="s">
        <v>133</v>
      </c>
      <c r="B74" s="116"/>
      <c r="C74" s="116"/>
      <c r="D74" s="116"/>
      <c r="E74" s="116" t="s">
        <v>56</v>
      </c>
      <c r="F74" s="116"/>
      <c r="G74" s="117">
        <f aca="true" t="shared" si="19" ref="G74:M74">G55+G60+G65+G73</f>
        <v>12213.48624</v>
      </c>
      <c r="H74" s="117">
        <f t="shared" si="19"/>
        <v>10722.526647874252</v>
      </c>
      <c r="I74" s="117">
        <f t="shared" si="19"/>
        <v>1587.741086280027</v>
      </c>
      <c r="J74" s="117">
        <f t="shared" si="19"/>
        <v>2738.1454000000003</v>
      </c>
      <c r="K74" s="117">
        <f t="shared" si="19"/>
        <v>2750.6764461538464</v>
      </c>
      <c r="L74" s="117">
        <f t="shared" si="19"/>
        <v>22542.383983572894</v>
      </c>
      <c r="M74" s="117">
        <f t="shared" si="19"/>
        <v>9885.856262833675</v>
      </c>
      <c r="N74" s="135">
        <f>N55+N60+N61</f>
        <v>113.47662477492943</v>
      </c>
    </row>
    <row r="75" spans="1:14" ht="15">
      <c r="A75" s="93" t="s">
        <v>121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5">
      <c r="A76" s="93" t="s">
        <v>390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ht="15">
      <c r="A77" s="93" t="s">
        <v>111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5">
      <c r="A78" s="93" t="s">
        <v>112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ht="15">
      <c r="A79" s="93" t="s">
        <v>115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</sheetData>
  <sheetProtection password="DF48" sheet="1"/>
  <conditionalFormatting sqref="G74:M74">
    <cfRule type="expression" priority="1" dxfId="1" stopIfTrue="1">
      <formula>IF(G74&gt;G49,1,0)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94">
      <selection activeCell="A3" sqref="A3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261</v>
      </c>
    </row>
    <row r="2" spans="1:8" ht="15.75">
      <c r="A2" s="193" t="s">
        <v>373</v>
      </c>
      <c r="B2" s="186"/>
      <c r="C2" s="186"/>
      <c r="D2" s="186"/>
      <c r="E2" s="186"/>
      <c r="F2" s="186"/>
      <c r="G2" s="186"/>
      <c r="H2" s="186"/>
    </row>
    <row r="3" spans="1:12" ht="15">
      <c r="A3" t="s">
        <v>262</v>
      </c>
      <c r="H3" s="3"/>
      <c r="I3" s="3"/>
      <c r="J3" s="3"/>
      <c r="K3" s="3"/>
      <c r="L3" s="3"/>
    </row>
    <row r="4" spans="1:12" ht="15">
      <c r="A4" s="2" t="s">
        <v>119</v>
      </c>
      <c r="B4" s="2"/>
      <c r="C4" s="2"/>
      <c r="D4" s="82" t="s">
        <v>120</v>
      </c>
      <c r="E4" s="82"/>
      <c r="F4" s="82"/>
      <c r="G4" s="82"/>
      <c r="H4" s="3"/>
      <c r="I4" s="3"/>
      <c r="J4" s="3"/>
      <c r="K4" s="3"/>
      <c r="L4" s="3"/>
    </row>
    <row r="5" spans="1:3" ht="15">
      <c r="A5" s="173" t="s">
        <v>254</v>
      </c>
      <c r="B5" s="173"/>
      <c r="C5" s="173"/>
    </row>
    <row r="7" ht="15">
      <c r="A7" t="s">
        <v>230</v>
      </c>
    </row>
    <row r="8" spans="1:13" ht="15">
      <c r="A8" t="s">
        <v>263</v>
      </c>
      <c r="L8" s="3"/>
      <c r="M8" s="3"/>
    </row>
    <row r="9" spans="1:13" ht="15">
      <c r="A9" t="s">
        <v>231</v>
      </c>
      <c r="L9" s="3"/>
      <c r="M9" s="3"/>
    </row>
    <row r="10" spans="1:13" ht="15">
      <c r="A10" s="87" t="s">
        <v>266</v>
      </c>
      <c r="L10" s="3"/>
      <c r="M10" s="3"/>
    </row>
    <row r="12" ht="18.75">
      <c r="A12" s="177" t="s">
        <v>368</v>
      </c>
    </row>
    <row r="13" spans="1:5" ht="15">
      <c r="A13" t="s">
        <v>62</v>
      </c>
      <c r="C13" s="76" t="s">
        <v>43</v>
      </c>
      <c r="D13" s="76" t="s">
        <v>63</v>
      </c>
      <c r="E13" s="76" t="s">
        <v>64</v>
      </c>
    </row>
    <row r="14" spans="1:5" ht="15">
      <c r="A14" t="s">
        <v>264</v>
      </c>
      <c r="C14" s="5">
        <v>10000</v>
      </c>
      <c r="D14" s="5">
        <v>7.2</v>
      </c>
      <c r="E14" s="5">
        <v>35</v>
      </c>
    </row>
    <row r="15" spans="1:5" ht="15">
      <c r="A15" t="s">
        <v>65</v>
      </c>
      <c r="C15" s="76"/>
      <c r="D15" s="5">
        <v>7.2</v>
      </c>
      <c r="E15" s="5">
        <v>35</v>
      </c>
    </row>
    <row r="16" spans="3:4" ht="15">
      <c r="C16" s="76" t="s">
        <v>67</v>
      </c>
      <c r="D16" s="76" t="s">
        <v>67</v>
      </c>
    </row>
    <row r="17" spans="3:4" ht="15">
      <c r="C17" s="76" t="s">
        <v>74</v>
      </c>
      <c r="D17" s="76">
        <v>2015</v>
      </c>
    </row>
    <row r="18" spans="1:5" ht="15">
      <c r="A18" t="s">
        <v>144</v>
      </c>
      <c r="C18" s="1">
        <f>(25-D14)*C14/4000</f>
        <v>44.5</v>
      </c>
      <c r="D18" s="1">
        <f>(25-D14)*C14/5167</f>
        <v>34.44939036191214</v>
      </c>
      <c r="E18" t="s">
        <v>137</v>
      </c>
    </row>
    <row r="19" spans="1:5" ht="15">
      <c r="A19" t="s">
        <v>145</v>
      </c>
      <c r="C19" s="1">
        <f>(E14-25)/4000*C14</f>
        <v>25</v>
      </c>
      <c r="D19" s="1">
        <f>C19</f>
        <v>25</v>
      </c>
      <c r="E19" t="s">
        <v>183</v>
      </c>
    </row>
    <row r="20" spans="1:4" ht="15">
      <c r="A20" t="s">
        <v>66</v>
      </c>
      <c r="C20" s="1">
        <f>C18+C19</f>
        <v>69.5</v>
      </c>
      <c r="D20" s="129">
        <f>D18+D19</f>
        <v>59.44939036191214</v>
      </c>
    </row>
    <row r="21" spans="1:5" ht="15">
      <c r="A21" s="82" t="s">
        <v>68</v>
      </c>
      <c r="B21" s="82"/>
      <c r="C21" s="82"/>
      <c r="D21" s="82"/>
      <c r="E21" s="130">
        <f>(D20*5167)/(E15-D15)</f>
        <v>11049.460431654676</v>
      </c>
    </row>
    <row r="23" ht="18.75">
      <c r="A23" s="177" t="s">
        <v>353</v>
      </c>
    </row>
    <row r="24" ht="15">
      <c r="A24" s="3" t="s">
        <v>27</v>
      </c>
    </row>
    <row r="25" ht="15">
      <c r="A25" s="3"/>
    </row>
    <row r="26" ht="15">
      <c r="A26" s="3" t="s">
        <v>138</v>
      </c>
    </row>
    <row r="27" ht="15">
      <c r="A27" s="3" t="s">
        <v>146</v>
      </c>
    </row>
    <row r="28" ht="15">
      <c r="A28" s="3" t="s">
        <v>142</v>
      </c>
    </row>
    <row r="29" ht="15">
      <c r="A29" s="3" t="s">
        <v>143</v>
      </c>
    </row>
    <row r="30" ht="15">
      <c r="A30" s="3" t="s">
        <v>140</v>
      </c>
    </row>
    <row r="31" spans="1:11" ht="15">
      <c r="A31" s="3" t="s">
        <v>141</v>
      </c>
      <c r="G31" t="s">
        <v>29</v>
      </c>
      <c r="K31" t="s">
        <v>334</v>
      </c>
    </row>
    <row r="32" spans="3:14" ht="15">
      <c r="C32" t="s">
        <v>43</v>
      </c>
      <c r="G32" s="76" t="s">
        <v>69</v>
      </c>
      <c r="H32" s="76" t="s">
        <v>72</v>
      </c>
      <c r="K32" t="s">
        <v>337</v>
      </c>
      <c r="L32" s="3"/>
      <c r="M32" s="3"/>
      <c r="N32" s="3"/>
    </row>
    <row r="33" spans="3:14" ht="15">
      <c r="C33" s="76" t="s">
        <v>336</v>
      </c>
      <c r="D33" s="76" t="s">
        <v>63</v>
      </c>
      <c r="E33" s="76" t="s">
        <v>64</v>
      </c>
      <c r="G33" s="76" t="s">
        <v>70</v>
      </c>
      <c r="H33" s="76" t="s">
        <v>73</v>
      </c>
      <c r="I33" s="76" t="s">
        <v>71</v>
      </c>
      <c r="K33" s="217" t="s">
        <v>335</v>
      </c>
      <c r="L33" s="3"/>
      <c r="M33" s="3"/>
      <c r="N33" s="3"/>
    </row>
    <row r="34" spans="1:14" ht="15">
      <c r="A34" t="s">
        <v>29</v>
      </c>
      <c r="C34" s="221">
        <v>7350</v>
      </c>
      <c r="D34" s="218">
        <v>30</v>
      </c>
      <c r="E34" s="218">
        <v>102</v>
      </c>
      <c r="G34" s="156">
        <f>C34/H34</f>
        <v>35</v>
      </c>
      <c r="H34" s="6">
        <v>210</v>
      </c>
      <c r="I34" s="76" t="s">
        <v>74</v>
      </c>
      <c r="K34" s="219">
        <f>1/((40-D34)/4000+(87-40)/2500+(E34-87)/2000)</f>
        <v>34.72222222222222</v>
      </c>
      <c r="L34" s="220">
        <f>H34*K34</f>
        <v>7291.666666666666</v>
      </c>
      <c r="M34" s="3"/>
      <c r="N34" s="3"/>
    </row>
    <row r="35" spans="1:11" ht="15">
      <c r="A35" s="77" t="s">
        <v>232</v>
      </c>
      <c r="C35" s="84"/>
      <c r="D35" s="84"/>
      <c r="E35" s="84"/>
      <c r="F35" t="s">
        <v>139</v>
      </c>
      <c r="G35" s="138" t="s">
        <v>184</v>
      </c>
      <c r="H35" s="136"/>
      <c r="I35" s="137"/>
      <c r="J35" s="140"/>
      <c r="K35" s="139"/>
    </row>
    <row r="36" spans="1:9" ht="15">
      <c r="A36" t="s">
        <v>65</v>
      </c>
      <c r="C36" s="81"/>
      <c r="D36" s="5">
        <v>31</v>
      </c>
      <c r="E36" s="5">
        <v>113</v>
      </c>
      <c r="F36" s="79">
        <f>(40-D36)/5167+(87-40)/3088+(E36-87)/2254</f>
        <v>0.028497079164202126</v>
      </c>
      <c r="G36" s="156">
        <f>1/F36</f>
        <v>35.09131564810314</v>
      </c>
      <c r="H36" s="1">
        <f>C36*F36</f>
        <v>0</v>
      </c>
      <c r="I36" s="76" t="s">
        <v>233</v>
      </c>
    </row>
    <row r="37" spans="1:9" ht="15">
      <c r="A37" s="82" t="s">
        <v>126</v>
      </c>
      <c r="B37" s="82"/>
      <c r="C37" s="78">
        <f>H34/F36</f>
        <v>7369.17628610166</v>
      </c>
      <c r="D37" s="83">
        <f>D36</f>
        <v>31</v>
      </c>
      <c r="E37" s="83">
        <f>E36</f>
        <v>113</v>
      </c>
      <c r="F37" s="80">
        <f>F36</f>
        <v>0.028497079164202126</v>
      </c>
      <c r="G37" s="156">
        <f>G36</f>
        <v>35.09131564810314</v>
      </c>
      <c r="H37" s="129">
        <f>C37*F37</f>
        <v>210</v>
      </c>
      <c r="I37" s="76" t="s">
        <v>233</v>
      </c>
    </row>
    <row r="38" spans="1:9" ht="15">
      <c r="A38" s="3"/>
      <c r="B38" s="3"/>
      <c r="C38" s="222"/>
      <c r="D38" s="84"/>
      <c r="E38" s="84"/>
      <c r="F38" s="224"/>
      <c r="G38" s="225"/>
      <c r="H38" s="223"/>
      <c r="I38" s="84"/>
    </row>
    <row r="39" spans="1:9" ht="18.75">
      <c r="A39" s="207" t="s">
        <v>349</v>
      </c>
      <c r="B39" s="3"/>
      <c r="C39" s="222"/>
      <c r="D39" s="84"/>
      <c r="E39" s="84"/>
      <c r="F39" s="224"/>
      <c r="G39" s="225"/>
      <c r="H39" s="223"/>
      <c r="I39" s="84"/>
    </row>
    <row r="40" spans="1:9" ht="15">
      <c r="A40" s="8" t="s">
        <v>355</v>
      </c>
      <c r="B40" s="3"/>
      <c r="C40" s="222"/>
      <c r="D40" s="84"/>
      <c r="E40" s="84"/>
      <c r="F40" s="224"/>
      <c r="G40" s="225"/>
      <c r="H40" s="223"/>
      <c r="I40" s="84"/>
    </row>
    <row r="41" spans="1:11" ht="18.75">
      <c r="A41" s="207"/>
      <c r="B41" s="3"/>
      <c r="C41" s="222"/>
      <c r="D41" s="84"/>
      <c r="E41" s="84"/>
      <c r="F41" s="224"/>
      <c r="G41" t="s">
        <v>29</v>
      </c>
      <c r="K41" t="s">
        <v>334</v>
      </c>
    </row>
    <row r="42" spans="1:12" ht="15">
      <c r="A42" s="3"/>
      <c r="B42" s="3"/>
      <c r="C42" s="222"/>
      <c r="D42" s="84"/>
      <c r="E42" s="84"/>
      <c r="F42" s="224"/>
      <c r="G42" s="76" t="s">
        <v>69</v>
      </c>
      <c r="H42" s="76" t="s">
        <v>72</v>
      </c>
      <c r="K42" t="s">
        <v>337</v>
      </c>
      <c r="L42" s="3"/>
    </row>
    <row r="43" spans="1:12" ht="15">
      <c r="A43" t="s">
        <v>347</v>
      </c>
      <c r="C43" s="76" t="s">
        <v>43</v>
      </c>
      <c r="D43" s="76" t="s">
        <v>63</v>
      </c>
      <c r="E43" s="76" t="s">
        <v>64</v>
      </c>
      <c r="G43" s="76" t="s">
        <v>70</v>
      </c>
      <c r="H43" s="76" t="s">
        <v>73</v>
      </c>
      <c r="I43" s="76" t="s">
        <v>71</v>
      </c>
      <c r="K43" s="217" t="s">
        <v>335</v>
      </c>
      <c r="L43" s="3"/>
    </row>
    <row r="44" spans="1:14" ht="15">
      <c r="A44" t="s">
        <v>264</v>
      </c>
      <c r="C44" s="218">
        <v>6090</v>
      </c>
      <c r="D44" s="218">
        <v>7.2</v>
      </c>
      <c r="E44" s="218">
        <v>102</v>
      </c>
      <c r="G44" s="156">
        <f>C44/H44</f>
        <v>29</v>
      </c>
      <c r="H44" s="6">
        <v>210</v>
      </c>
      <c r="I44" s="76" t="s">
        <v>74</v>
      </c>
      <c r="K44" s="219">
        <f>1/((40-D44)/4000+(87-40)/2500+(E44-87)/2000)</f>
        <v>28.98550724637681</v>
      </c>
      <c r="L44" s="220">
        <f>H44*K44</f>
        <v>6086.95652173913</v>
      </c>
      <c r="N44" s="79"/>
    </row>
    <row r="45" spans="1:9" ht="15">
      <c r="A45" t="s">
        <v>65</v>
      </c>
      <c r="C45" s="76"/>
      <c r="D45" s="5">
        <v>7.2</v>
      </c>
      <c r="E45" s="5">
        <v>113</v>
      </c>
      <c r="G45" s="225"/>
      <c r="H45" s="223"/>
      <c r="I45" s="84"/>
    </row>
    <row r="46" spans="3:9" ht="15">
      <c r="C46" s="76" t="s">
        <v>67</v>
      </c>
      <c r="D46" s="76" t="s">
        <v>67</v>
      </c>
      <c r="G46" s="225"/>
      <c r="H46" s="223"/>
      <c r="I46" s="84"/>
    </row>
    <row r="47" spans="3:9" ht="15">
      <c r="C47" s="76" t="s">
        <v>74</v>
      </c>
      <c r="D47" s="76">
        <v>2015</v>
      </c>
      <c r="G47" s="225"/>
      <c r="H47" s="223"/>
      <c r="I47" s="84"/>
    </row>
    <row r="48" spans="1:9" ht="15">
      <c r="A48" t="s">
        <v>144</v>
      </c>
      <c r="C48" s="1">
        <f>(25-D44)*C44/4000</f>
        <v>27.1005</v>
      </c>
      <c r="D48" s="1">
        <f>(25-D44)*C44/5167</f>
        <v>20.97967873040449</v>
      </c>
      <c r="E48" t="s">
        <v>137</v>
      </c>
      <c r="G48" s="225"/>
      <c r="H48" s="223"/>
      <c r="I48" s="84"/>
    </row>
    <row r="49" spans="1:9" ht="15">
      <c r="A49" t="s">
        <v>145</v>
      </c>
      <c r="C49" s="219">
        <f>H44-C48</f>
        <v>182.8995</v>
      </c>
      <c r="D49" s="1">
        <f>C49</f>
        <v>182.8995</v>
      </c>
      <c r="E49" t="s">
        <v>183</v>
      </c>
      <c r="G49" s="225"/>
      <c r="H49" s="223"/>
      <c r="I49" s="84"/>
    </row>
    <row r="50" spans="1:10" ht="15">
      <c r="A50" t="s">
        <v>66</v>
      </c>
      <c r="C50" s="1">
        <f>C48+C49</f>
        <v>210</v>
      </c>
      <c r="D50" s="129">
        <f>D48+D49</f>
        <v>203.87917873040448</v>
      </c>
      <c r="F50" t="s">
        <v>369</v>
      </c>
      <c r="G50" s="225"/>
      <c r="H50" s="223"/>
      <c r="I50" s="84"/>
      <c r="J50" s="79">
        <f>(40-D45)/5167+(87-40)/3088+(E45-87)/2254</f>
        <v>0.03310323360585105</v>
      </c>
    </row>
    <row r="51" spans="1:9" ht="15">
      <c r="A51" s="82" t="s">
        <v>68</v>
      </c>
      <c r="B51" s="82"/>
      <c r="C51" s="82"/>
      <c r="D51" s="82"/>
      <c r="E51" s="130">
        <f>D50/J50</f>
        <v>6158.8901301282085</v>
      </c>
      <c r="G51" s="225"/>
      <c r="H51" s="223"/>
      <c r="I51" s="76"/>
    </row>
    <row r="52" spans="1:9" ht="15">
      <c r="A52" s="3"/>
      <c r="B52" s="3"/>
      <c r="C52" s="3"/>
      <c r="D52" s="3"/>
      <c r="E52" s="228"/>
      <c r="F52" s="3"/>
      <c r="G52" s="225"/>
      <c r="H52" s="223"/>
      <c r="I52" s="76"/>
    </row>
    <row r="53" ht="18">
      <c r="A53" s="161" t="s">
        <v>265</v>
      </c>
    </row>
    <row r="54" ht="15">
      <c r="A54" s="227"/>
    </row>
    <row r="55" ht="15.75">
      <c r="A55" s="200" t="s">
        <v>307</v>
      </c>
    </row>
    <row r="56" ht="15.75">
      <c r="A56" s="200" t="s">
        <v>308</v>
      </c>
    </row>
    <row r="57" ht="15.75">
      <c r="A57" s="200" t="s">
        <v>339</v>
      </c>
    </row>
    <row r="58" ht="15.75">
      <c r="A58" s="200" t="s">
        <v>338</v>
      </c>
    </row>
    <row r="59" ht="15.75">
      <c r="A59" s="200" t="s">
        <v>325</v>
      </c>
    </row>
    <row r="60" ht="15">
      <c r="A60" s="162"/>
    </row>
    <row r="61" spans="1:3" ht="15">
      <c r="A61" s="163" t="s">
        <v>234</v>
      </c>
      <c r="B61" s="149">
        <v>7.2</v>
      </c>
      <c r="C61" s="3" t="s">
        <v>371</v>
      </c>
    </row>
    <row r="62" spans="1:3" ht="15">
      <c r="A62" s="163" t="s">
        <v>235</v>
      </c>
      <c r="B62" s="149">
        <v>110</v>
      </c>
      <c r="C62" s="3" t="s">
        <v>351</v>
      </c>
    </row>
    <row r="63" spans="1:5" ht="15">
      <c r="A63" s="163" t="s">
        <v>350</v>
      </c>
      <c r="B63" s="3"/>
      <c r="C63" s="3"/>
      <c r="D63" s="164">
        <f>IF(B62&lt;39.99,(B62-B61)/5167,(40-B61)/5167+(87-40)/3088+(B62-87)/2254)</f>
        <v>0.03177226643637456</v>
      </c>
      <c r="E63" t="s">
        <v>328</v>
      </c>
    </row>
    <row r="64" spans="1:5" ht="15">
      <c r="A64" t="s">
        <v>352</v>
      </c>
      <c r="D64" s="165">
        <f>((B62-B61)*(4.1+0.0296*(B62+B61)))/1000</f>
        <v>0.7781055359999999</v>
      </c>
      <c r="E64" t="s">
        <v>236</v>
      </c>
    </row>
    <row r="65" spans="1:4" ht="15">
      <c r="A65" t="s">
        <v>354</v>
      </c>
      <c r="D65" s="166">
        <f>1/D63</f>
        <v>31.473990122881112</v>
      </c>
    </row>
    <row r="66" spans="1:4" ht="15">
      <c r="A66" t="s">
        <v>237</v>
      </c>
      <c r="D66" s="166">
        <f>D65*D64</f>
        <v>24.490085954623108</v>
      </c>
    </row>
    <row r="67" spans="1:5" ht="15">
      <c r="A67" t="s">
        <v>370</v>
      </c>
      <c r="D67" s="167">
        <f>D66*1.4</f>
        <v>34.28612033647235</v>
      </c>
      <c r="E67" t="s">
        <v>239</v>
      </c>
    </row>
    <row r="68" spans="4:8" s="3" customFormat="1" ht="15">
      <c r="D68" s="201"/>
      <c r="F68" s="210" t="s">
        <v>318</v>
      </c>
      <c r="G68" s="210"/>
      <c r="H68" s="210"/>
    </row>
    <row r="69" spans="1:8" ht="15">
      <c r="A69" s="82"/>
      <c r="B69" s="82"/>
      <c r="C69" s="82"/>
      <c r="D69" s="209" t="s">
        <v>320</v>
      </c>
      <c r="E69" s="93"/>
      <c r="F69" s="202" t="s">
        <v>321</v>
      </c>
      <c r="G69" s="186" t="s">
        <v>322</v>
      </c>
      <c r="H69" s="93" t="s">
        <v>323</v>
      </c>
    </row>
    <row r="70" spans="1:8" ht="15">
      <c r="A70" s="82" t="s">
        <v>331</v>
      </c>
      <c r="B70" s="82"/>
      <c r="C70" s="82"/>
      <c r="D70" s="209">
        <v>33</v>
      </c>
      <c r="E70" s="93" t="s">
        <v>309</v>
      </c>
      <c r="F70" s="202">
        <v>0.9</v>
      </c>
      <c r="G70" s="186">
        <v>1.34</v>
      </c>
      <c r="H70" s="93">
        <v>1.4</v>
      </c>
    </row>
    <row r="71" spans="1:8" ht="15">
      <c r="A71" s="82" t="s">
        <v>240</v>
      </c>
      <c r="B71" s="82"/>
      <c r="C71" s="82"/>
      <c r="D71" s="209">
        <v>26</v>
      </c>
      <c r="E71" s="93" t="s">
        <v>319</v>
      </c>
      <c r="F71" s="202">
        <v>0.9</v>
      </c>
      <c r="G71" s="186">
        <v>1.34</v>
      </c>
      <c r="H71" s="93">
        <v>0</v>
      </c>
    </row>
    <row r="72" spans="1:8" ht="15">
      <c r="A72" s="82" t="s">
        <v>241</v>
      </c>
      <c r="B72" s="82"/>
      <c r="C72" s="82"/>
      <c r="D72" s="209">
        <v>24</v>
      </c>
      <c r="E72" s="93" t="s">
        <v>310</v>
      </c>
      <c r="F72" s="202">
        <v>0.9</v>
      </c>
      <c r="G72" s="186">
        <v>0</v>
      </c>
      <c r="H72" s="93">
        <v>0</v>
      </c>
    </row>
    <row r="73" spans="1:8" ht="15">
      <c r="A73" s="82" t="s">
        <v>242</v>
      </c>
      <c r="B73" s="82"/>
      <c r="C73" s="82"/>
      <c r="D73" s="209">
        <v>22</v>
      </c>
      <c r="E73" s="93" t="s">
        <v>311</v>
      </c>
      <c r="F73" s="202">
        <v>0.9</v>
      </c>
      <c r="G73" s="186">
        <v>0</v>
      </c>
      <c r="H73" s="93">
        <v>0</v>
      </c>
    </row>
    <row r="74" spans="1:9" ht="18.75">
      <c r="A74" s="207" t="s">
        <v>330</v>
      </c>
      <c r="B74" s="177"/>
      <c r="C74" s="177"/>
      <c r="D74" s="207"/>
      <c r="E74" s="177"/>
      <c r="F74" s="162"/>
      <c r="G74" s="162"/>
      <c r="H74" s="162"/>
      <c r="I74" s="162"/>
    </row>
    <row r="75" spans="4:7" ht="15">
      <c r="D75" s="82" t="s">
        <v>320</v>
      </c>
      <c r="F75" s="173" t="s">
        <v>243</v>
      </c>
      <c r="G75" s="51" t="s">
        <v>244</v>
      </c>
    </row>
    <row r="76" spans="3:7" ht="15">
      <c r="C76" s="168" t="s">
        <v>245</v>
      </c>
      <c r="D76" s="82" t="s">
        <v>246</v>
      </c>
      <c r="F76" s="173" t="s">
        <v>247</v>
      </c>
      <c r="G76" s="51" t="s">
        <v>247</v>
      </c>
    </row>
    <row r="77" spans="1:11" ht="15">
      <c r="A77" t="s">
        <v>248</v>
      </c>
      <c r="C77" s="6">
        <v>70</v>
      </c>
      <c r="D77" s="169">
        <f>IF(C78+C79+C80=0,C77*D67/100,C77*D70/100)</f>
        <v>23.1</v>
      </c>
      <c r="F77" s="174">
        <v>140</v>
      </c>
      <c r="G77" s="50">
        <f>F77/$F$81*100</f>
        <v>70</v>
      </c>
      <c r="H77" s="51" t="s">
        <v>257</v>
      </c>
      <c r="I77" s="51"/>
      <c r="J77" s="51"/>
      <c r="K77" s="51"/>
    </row>
    <row r="78" spans="1:11" ht="15">
      <c r="A78" t="s">
        <v>249</v>
      </c>
      <c r="C78" s="6">
        <v>10</v>
      </c>
      <c r="D78" s="169">
        <f>C78*D71/100</f>
        <v>2.6</v>
      </c>
      <c r="F78" s="174">
        <v>20</v>
      </c>
      <c r="G78" s="50">
        <f>F78/$F$81*100</f>
        <v>10</v>
      </c>
      <c r="H78" s="51" t="s">
        <v>268</v>
      </c>
      <c r="I78" s="51"/>
      <c r="J78" s="51"/>
      <c r="K78" s="51"/>
    </row>
    <row r="79" spans="1:11" ht="15">
      <c r="A79" t="s">
        <v>250</v>
      </c>
      <c r="C79" s="6">
        <v>10</v>
      </c>
      <c r="D79" s="169">
        <f>C79*D72/100</f>
        <v>2.4</v>
      </c>
      <c r="F79" s="174">
        <v>20</v>
      </c>
      <c r="G79" s="50">
        <f>F79/$F$81*100</f>
        <v>10</v>
      </c>
      <c r="H79" s="51" t="s">
        <v>255</v>
      </c>
      <c r="I79" s="51"/>
      <c r="J79" s="51"/>
      <c r="K79" s="51"/>
    </row>
    <row r="80" spans="1:11" ht="15">
      <c r="A80" t="s">
        <v>251</v>
      </c>
      <c r="C80" s="6">
        <v>10</v>
      </c>
      <c r="D80" s="169">
        <f>C80*D73/100</f>
        <v>2.2</v>
      </c>
      <c r="F80" s="174">
        <v>20</v>
      </c>
      <c r="G80" s="50">
        <f>F80/$F$81*100</f>
        <v>10</v>
      </c>
      <c r="H80" s="51" t="s">
        <v>256</v>
      </c>
      <c r="I80" s="51"/>
      <c r="J80" s="51"/>
      <c r="K80" s="51"/>
    </row>
    <row r="81" spans="1:6" ht="15">
      <c r="A81" t="s">
        <v>258</v>
      </c>
      <c r="C81" s="211">
        <f>SUM(C77:C80)</f>
        <v>100</v>
      </c>
      <c r="D81" s="169">
        <f>SUM(D77:D80)</f>
        <v>30.3</v>
      </c>
      <c r="E81" s="82" t="s">
        <v>252</v>
      </c>
      <c r="F81">
        <f>SUM(F77:F80)</f>
        <v>200</v>
      </c>
    </row>
    <row r="82" spans="2:25" ht="15">
      <c r="B82" s="87"/>
      <c r="C82" s="87" t="s">
        <v>332</v>
      </c>
      <c r="D82" s="170"/>
      <c r="E82" s="3"/>
      <c r="Q82" s="172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316</v>
      </c>
      <c r="C83" s="156"/>
      <c r="D83" s="170"/>
      <c r="E83" s="3"/>
      <c r="Q83" s="170"/>
      <c r="R83" s="3"/>
      <c r="S83" s="3"/>
      <c r="T83" s="3"/>
      <c r="U83" s="3"/>
      <c r="V83" s="3"/>
      <c r="W83" s="3"/>
      <c r="X83" s="3"/>
      <c r="Y83" s="3"/>
    </row>
    <row r="84" spans="3:25" ht="15">
      <c r="C84" s="156"/>
      <c r="D84" s="169" t="s">
        <v>312</v>
      </c>
      <c r="E84" s="3"/>
      <c r="F84" s="202" t="s">
        <v>313</v>
      </c>
      <c r="G84" s="186" t="s">
        <v>314</v>
      </c>
      <c r="H84" s="93" t="s">
        <v>315</v>
      </c>
      <c r="Q84" s="170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317</v>
      </c>
      <c r="C85" s="156"/>
      <c r="D85" s="169">
        <f>D81/D66</f>
        <v>1.2372353472397726</v>
      </c>
      <c r="E85" s="3"/>
      <c r="F85" s="202">
        <v>0.9</v>
      </c>
      <c r="G85" s="203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253</v>
      </c>
      <c r="D86" s="212">
        <f>$H$37/D85</f>
        <v>169.7332689924374</v>
      </c>
      <c r="E86" s="213"/>
      <c r="F86" s="214">
        <f>$H$37/F85</f>
        <v>233.33333333333331</v>
      </c>
      <c r="G86" s="215">
        <f>$H$37/G85</f>
        <v>195.8955223880597</v>
      </c>
      <c r="H86" s="216">
        <f>$H$37/H85</f>
        <v>214.28571428571428</v>
      </c>
      <c r="I86" s="171" t="s">
        <v>329</v>
      </c>
      <c r="J86" s="171"/>
      <c r="K86" s="171"/>
      <c r="L86" s="171"/>
      <c r="M86" s="176">
        <f>H37</f>
        <v>210</v>
      </c>
      <c r="N86" s="171" t="s">
        <v>73</v>
      </c>
      <c r="O86" s="176" t="s">
        <v>324</v>
      </c>
      <c r="Q86" s="172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333</v>
      </c>
      <c r="D87" s="175"/>
      <c r="E87" s="175"/>
      <c r="F87" s="175"/>
      <c r="G87" s="175"/>
      <c r="H87" s="175"/>
      <c r="I87" s="3"/>
      <c r="J87" s="3"/>
      <c r="K87" s="3"/>
      <c r="L87" s="3"/>
      <c r="M87" s="175"/>
      <c r="N87" s="3"/>
      <c r="O87" s="175"/>
      <c r="Q87" s="172"/>
      <c r="R87" s="3"/>
      <c r="S87" s="3"/>
      <c r="T87" s="3"/>
      <c r="U87" s="3"/>
      <c r="V87" s="3"/>
      <c r="W87" s="3"/>
      <c r="X87" s="3"/>
      <c r="Y87" s="3"/>
    </row>
    <row r="88" spans="1:25" ht="15">
      <c r="A88" s="229" t="s">
        <v>326</v>
      </c>
      <c r="B88" s="82"/>
      <c r="C88" s="82"/>
      <c r="D88" s="135"/>
      <c r="E88" s="135"/>
      <c r="F88" s="135"/>
      <c r="G88" s="135"/>
      <c r="H88" s="135"/>
      <c r="I88" s="82"/>
      <c r="J88" s="82"/>
      <c r="K88" s="82"/>
      <c r="L88" s="82"/>
      <c r="M88" s="135"/>
      <c r="N88" s="82"/>
      <c r="O88" s="135"/>
      <c r="P88" s="3"/>
      <c r="Q88" s="172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259</v>
      </c>
      <c r="C89" s="3"/>
      <c r="D89" s="189">
        <v>203</v>
      </c>
      <c r="E89" s="170"/>
      <c r="F89" s="3"/>
      <c r="G89" s="3"/>
      <c r="H89" s="3"/>
      <c r="I89" s="229" t="s">
        <v>327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260</v>
      </c>
      <c r="C90" s="175"/>
      <c r="D90" s="178">
        <f>$D$89/D85</f>
        <v>164.07549335935616</v>
      </c>
      <c r="E90" s="208"/>
      <c r="F90" s="204">
        <f>$D$89/F85</f>
        <v>225.55555555555554</v>
      </c>
      <c r="G90" s="205">
        <f>$D$89/G85</f>
        <v>189.36567164179104</v>
      </c>
      <c r="H90" s="206">
        <f>$D$89/H85</f>
        <v>207.14285714285714</v>
      </c>
      <c r="I90" s="170"/>
      <c r="J90" s="3"/>
      <c r="K90" s="3"/>
      <c r="L90" s="3"/>
      <c r="M90" s="3"/>
      <c r="N90" s="3"/>
      <c r="O90" s="3"/>
      <c r="P90" s="3"/>
    </row>
    <row r="91" spans="3:16" ht="15">
      <c r="C91" s="175"/>
      <c r="D91" s="17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07"/>
      <c r="B92" s="8"/>
      <c r="C92" s="8"/>
      <c r="D92" s="172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2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2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2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2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199"/>
      <c r="B97" s="3"/>
      <c r="C97" s="3"/>
      <c r="D97" s="170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70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3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7">
      <selection activeCell="E31" sqref="E31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356</v>
      </c>
    </row>
    <row r="2" spans="1:8" ht="15.75">
      <c r="A2" s="193" t="s">
        <v>373</v>
      </c>
      <c r="B2" s="186"/>
      <c r="C2" s="186"/>
      <c r="D2" s="186"/>
      <c r="E2" s="186"/>
      <c r="F2" s="186"/>
      <c r="G2" s="186"/>
      <c r="H2" s="186"/>
    </row>
    <row r="3" spans="1:12" ht="15">
      <c r="A3" t="s">
        <v>269</v>
      </c>
      <c r="H3" s="3"/>
      <c r="I3" s="3"/>
      <c r="J3" s="3"/>
      <c r="K3" s="3"/>
      <c r="L3" s="3"/>
    </row>
    <row r="4" spans="1:12" ht="15">
      <c r="A4" s="2" t="s">
        <v>119</v>
      </c>
      <c r="B4" s="2"/>
      <c r="C4" s="2"/>
      <c r="D4" s="82" t="s">
        <v>120</v>
      </c>
      <c r="E4" s="82"/>
      <c r="F4" s="82"/>
      <c r="G4" s="82"/>
      <c r="H4" s="3"/>
      <c r="I4" s="3"/>
      <c r="J4" s="3"/>
      <c r="K4" s="3"/>
      <c r="L4" s="3"/>
    </row>
    <row r="5" spans="1:3" ht="15">
      <c r="A5" s="173" t="s">
        <v>254</v>
      </c>
      <c r="B5" s="173"/>
      <c r="C5" s="173"/>
    </row>
    <row r="7" ht="15">
      <c r="A7" t="s">
        <v>230</v>
      </c>
    </row>
    <row r="8" spans="1:13" ht="15">
      <c r="A8" t="s">
        <v>263</v>
      </c>
      <c r="L8" s="3"/>
      <c r="M8" s="3"/>
    </row>
    <row r="9" spans="1:13" ht="15">
      <c r="A9" t="s">
        <v>231</v>
      </c>
      <c r="L9" s="3"/>
      <c r="M9" s="3"/>
    </row>
    <row r="10" spans="1:13" ht="15">
      <c r="A10" s="87" t="s">
        <v>266</v>
      </c>
      <c r="L10" s="3"/>
      <c r="M10" s="3"/>
    </row>
    <row r="12" ht="18.75">
      <c r="A12" s="177" t="s">
        <v>267</v>
      </c>
    </row>
    <row r="13" spans="1:5" ht="15">
      <c r="A13" t="s">
        <v>62</v>
      </c>
      <c r="C13" s="76" t="s">
        <v>43</v>
      </c>
      <c r="D13" s="76" t="s">
        <v>63</v>
      </c>
      <c r="E13" s="76" t="s">
        <v>64</v>
      </c>
    </row>
    <row r="14" spans="1:5" ht="15">
      <c r="A14" t="s">
        <v>358</v>
      </c>
      <c r="C14" s="5">
        <v>10000</v>
      </c>
      <c r="D14" s="5">
        <v>7.2</v>
      </c>
      <c r="E14" s="5">
        <v>35</v>
      </c>
    </row>
    <row r="15" spans="1:5" ht="15">
      <c r="A15" t="s">
        <v>360</v>
      </c>
      <c r="C15" s="76"/>
      <c r="D15" s="5">
        <v>7.2</v>
      </c>
      <c r="E15" s="5">
        <v>35</v>
      </c>
    </row>
    <row r="16" spans="3:4" ht="15">
      <c r="C16" s="76" t="s">
        <v>67</v>
      </c>
      <c r="D16" s="76" t="s">
        <v>67</v>
      </c>
    </row>
    <row r="17" spans="3:4" ht="15">
      <c r="C17" s="76" t="s">
        <v>357</v>
      </c>
      <c r="D17" s="76">
        <v>2015</v>
      </c>
    </row>
    <row r="18" spans="1:5" ht="15">
      <c r="A18" t="s">
        <v>144</v>
      </c>
      <c r="C18" s="1">
        <f>(25-D14)*C14/4940</f>
        <v>36.03238866396761</v>
      </c>
      <c r="D18" s="1">
        <f>(25-D14)*C14/5167</f>
        <v>34.44939036191214</v>
      </c>
      <c r="E18" t="s">
        <v>137</v>
      </c>
    </row>
    <row r="19" spans="1:5" ht="15">
      <c r="A19" t="s">
        <v>145</v>
      </c>
      <c r="C19" s="1">
        <f>(E14-25)/4940*C14</f>
        <v>20.242914979757085</v>
      </c>
      <c r="D19" s="1">
        <f>C19</f>
        <v>20.242914979757085</v>
      </c>
      <c r="E19" t="s">
        <v>183</v>
      </c>
    </row>
    <row r="20" spans="1:4" ht="15">
      <c r="A20" t="s">
        <v>66</v>
      </c>
      <c r="C20" s="1">
        <f>C18+C19</f>
        <v>56.2753036437247</v>
      </c>
      <c r="D20" s="129">
        <f>D18+D19</f>
        <v>54.692305341669226</v>
      </c>
    </row>
    <row r="21" spans="1:5" ht="15">
      <c r="A21" s="82" t="s">
        <v>68</v>
      </c>
      <c r="B21" s="82"/>
      <c r="C21" s="82"/>
      <c r="D21" s="82"/>
      <c r="E21" s="130">
        <f>(D20*5167)/(E15-D15)</f>
        <v>10165.292866921038</v>
      </c>
    </row>
    <row r="23" ht="18.75">
      <c r="A23" s="177" t="s">
        <v>353</v>
      </c>
    </row>
    <row r="24" ht="15">
      <c r="A24" s="3" t="s">
        <v>27</v>
      </c>
    </row>
    <row r="25" ht="15">
      <c r="A25" s="3"/>
    </row>
    <row r="26" ht="15">
      <c r="A26" s="3" t="s">
        <v>362</v>
      </c>
    </row>
    <row r="27" ht="15">
      <c r="A27" s="3" t="s">
        <v>363</v>
      </c>
    </row>
    <row r="28" ht="15">
      <c r="A28" s="3" t="s">
        <v>361</v>
      </c>
    </row>
    <row r="29" ht="15">
      <c r="A29" s="3"/>
    </row>
    <row r="30" ht="15">
      <c r="A30" s="3"/>
    </row>
    <row r="31" spans="1:11" ht="15">
      <c r="A31" s="3"/>
      <c r="G31" t="s">
        <v>29</v>
      </c>
      <c r="K31" t="s">
        <v>334</v>
      </c>
    </row>
    <row r="32" spans="3:14" ht="15">
      <c r="C32" t="s">
        <v>43</v>
      </c>
      <c r="G32" s="76" t="s">
        <v>69</v>
      </c>
      <c r="H32" s="76" t="s">
        <v>72</v>
      </c>
      <c r="K32" t="s">
        <v>337</v>
      </c>
      <c r="L32" s="3"/>
      <c r="M32" s="3"/>
      <c r="N32" s="3"/>
    </row>
    <row r="33" spans="3:14" ht="15">
      <c r="C33" s="76" t="s">
        <v>359</v>
      </c>
      <c r="D33" s="76" t="s">
        <v>63</v>
      </c>
      <c r="E33" s="76" t="s">
        <v>64</v>
      </c>
      <c r="G33" s="76" t="s">
        <v>70</v>
      </c>
      <c r="H33" s="76" t="s">
        <v>73</v>
      </c>
      <c r="I33" s="76" t="s">
        <v>71</v>
      </c>
      <c r="K33" s="217" t="s">
        <v>335</v>
      </c>
      <c r="L33" s="3"/>
      <c r="M33" s="3"/>
      <c r="N33" s="3"/>
    </row>
    <row r="34" spans="1:14" ht="15">
      <c r="A34" t="s">
        <v>358</v>
      </c>
      <c r="C34" s="221">
        <v>7560</v>
      </c>
      <c r="D34" s="218">
        <v>32</v>
      </c>
      <c r="E34" s="218">
        <v>107</v>
      </c>
      <c r="G34" s="156">
        <f>C34/H34</f>
        <v>36</v>
      </c>
      <c r="H34" s="6">
        <v>210</v>
      </c>
      <c r="I34" s="76" t="s">
        <v>357</v>
      </c>
      <c r="K34" s="219">
        <f>1/((40-D34)/4940+(87-40)/2910+(E34-87)/2000)</f>
        <v>36.009258192347964</v>
      </c>
      <c r="L34" s="220">
        <f>H34*K34</f>
        <v>7561.944220393072</v>
      </c>
      <c r="M34" s="3"/>
      <c r="N34" s="3"/>
    </row>
    <row r="35" spans="1:11" ht="15">
      <c r="A35" s="77" t="s">
        <v>232</v>
      </c>
      <c r="C35" s="84"/>
      <c r="D35" s="84"/>
      <c r="E35" s="84"/>
      <c r="F35" t="s">
        <v>139</v>
      </c>
      <c r="G35" s="138" t="s">
        <v>184</v>
      </c>
      <c r="H35" s="136"/>
      <c r="I35" s="137"/>
      <c r="J35" s="140"/>
      <c r="K35" s="139"/>
    </row>
    <row r="36" spans="1:9" ht="15">
      <c r="A36" t="s">
        <v>360</v>
      </c>
      <c r="C36" s="81"/>
      <c r="D36" s="5">
        <v>32</v>
      </c>
      <c r="E36" s="5">
        <v>107</v>
      </c>
      <c r="F36" s="79">
        <f>(40-D36)/5167+(87-40)/3088+(E36-87)/2254</f>
        <v>0.025641608924339535</v>
      </c>
      <c r="G36" s="156">
        <f>1/F36</f>
        <v>38.99911284626059</v>
      </c>
      <c r="H36" s="1">
        <f>C36*F36</f>
        <v>0</v>
      </c>
      <c r="I36" s="76" t="s">
        <v>233</v>
      </c>
    </row>
    <row r="37" spans="1:9" ht="15">
      <c r="A37" s="82" t="s">
        <v>367</v>
      </c>
      <c r="B37" s="82"/>
      <c r="C37" s="78">
        <f>H34/F36</f>
        <v>8189.813697714722</v>
      </c>
      <c r="D37" s="83">
        <f>D36</f>
        <v>32</v>
      </c>
      <c r="E37" s="83">
        <f>E36</f>
        <v>107</v>
      </c>
      <c r="F37" s="80">
        <f>F36</f>
        <v>0.025641608924339535</v>
      </c>
      <c r="G37" s="156">
        <f>G36</f>
        <v>38.99911284626059</v>
      </c>
      <c r="H37" s="129">
        <f>C37*F37</f>
        <v>210</v>
      </c>
      <c r="I37" s="76" t="s">
        <v>233</v>
      </c>
    </row>
    <row r="38" spans="1:9" ht="15">
      <c r="A38" s="3"/>
      <c r="B38" s="3"/>
      <c r="C38" s="222"/>
      <c r="D38" s="84"/>
      <c r="E38" s="84"/>
      <c r="F38" s="224"/>
      <c r="G38" s="225"/>
      <c r="H38" s="223"/>
      <c r="I38" s="84"/>
    </row>
    <row r="39" spans="1:9" ht="18.75">
      <c r="A39" s="207" t="s">
        <v>349</v>
      </c>
      <c r="B39" s="3"/>
      <c r="C39" s="222"/>
      <c r="D39" s="84"/>
      <c r="E39" s="84"/>
      <c r="F39" s="224"/>
      <c r="G39" s="225"/>
      <c r="H39" s="223"/>
      <c r="I39" s="84"/>
    </row>
    <row r="40" spans="1:9" ht="15">
      <c r="A40" s="8" t="s">
        <v>364</v>
      </c>
      <c r="B40" s="3"/>
      <c r="C40" s="222"/>
      <c r="D40" s="84"/>
      <c r="E40" s="84"/>
      <c r="F40" s="224"/>
      <c r="G40" s="225"/>
      <c r="H40" s="223"/>
      <c r="I40" s="84"/>
    </row>
    <row r="41" spans="1:11" ht="18.75">
      <c r="A41" s="207"/>
      <c r="B41" s="3"/>
      <c r="C41" s="222"/>
      <c r="D41" s="84"/>
      <c r="E41" s="84"/>
      <c r="F41" s="224"/>
      <c r="G41" t="s">
        <v>365</v>
      </c>
      <c r="K41" t="s">
        <v>334</v>
      </c>
    </row>
    <row r="42" spans="1:12" ht="15">
      <c r="A42" s="3"/>
      <c r="B42" s="3"/>
      <c r="C42" s="222"/>
      <c r="D42" s="84"/>
      <c r="E42" s="84"/>
      <c r="F42" s="224"/>
      <c r="G42" s="76" t="s">
        <v>69</v>
      </c>
      <c r="H42" s="76" t="s">
        <v>72</v>
      </c>
      <c r="K42" t="s">
        <v>337</v>
      </c>
      <c r="L42" s="3"/>
    </row>
    <row r="43" spans="1:12" ht="15">
      <c r="A43" t="s">
        <v>347</v>
      </c>
      <c r="C43" s="76" t="s">
        <v>43</v>
      </c>
      <c r="D43" s="76" t="s">
        <v>63</v>
      </c>
      <c r="E43" s="76" t="s">
        <v>64</v>
      </c>
      <c r="G43" s="76" t="s">
        <v>70</v>
      </c>
      <c r="H43" s="76" t="s">
        <v>73</v>
      </c>
      <c r="I43" s="76" t="s">
        <v>71</v>
      </c>
      <c r="K43" s="217" t="s">
        <v>340</v>
      </c>
      <c r="L43" s="3"/>
    </row>
    <row r="44" spans="1:14" ht="15">
      <c r="A44" t="s">
        <v>358</v>
      </c>
      <c r="C44" s="218">
        <v>6400</v>
      </c>
      <c r="D44" s="218">
        <v>7.2</v>
      </c>
      <c r="E44" s="218">
        <v>107</v>
      </c>
      <c r="G44" s="156">
        <f>C44/H44</f>
        <v>30.476190476190474</v>
      </c>
      <c r="H44" s="6">
        <v>210</v>
      </c>
      <c r="I44" s="76" t="s">
        <v>357</v>
      </c>
      <c r="K44" s="219">
        <f>1/((40-D44)/4940+(87-40)/2910+(E44-87)/2000)</f>
        <v>30.496285390617373</v>
      </c>
      <c r="L44" s="220">
        <f>H44*K44</f>
        <v>6404.219932029649</v>
      </c>
      <c r="N44" s="79"/>
    </row>
    <row r="45" spans="1:9" ht="15">
      <c r="A45" t="s">
        <v>366</v>
      </c>
      <c r="C45" s="76"/>
      <c r="D45" s="5">
        <v>7.2</v>
      </c>
      <c r="E45" s="5">
        <v>112</v>
      </c>
      <c r="G45" s="225"/>
      <c r="H45" s="223"/>
      <c r="I45" s="84"/>
    </row>
    <row r="46" spans="3:9" ht="15">
      <c r="C46" s="76" t="s">
        <v>67</v>
      </c>
      <c r="D46" s="76" t="s">
        <v>67</v>
      </c>
      <c r="G46" s="225"/>
      <c r="H46" s="223"/>
      <c r="I46" s="84"/>
    </row>
    <row r="47" spans="3:9" ht="15">
      <c r="C47" s="76" t="s">
        <v>74</v>
      </c>
      <c r="D47" s="76">
        <v>2015</v>
      </c>
      <c r="G47" s="225"/>
      <c r="H47" s="223"/>
      <c r="I47" s="84"/>
    </row>
    <row r="48" spans="1:9" ht="15">
      <c r="A48" t="s">
        <v>144</v>
      </c>
      <c r="C48" s="1">
        <f>(25-D44)*C44/4940</f>
        <v>23.060728744939272</v>
      </c>
      <c r="D48" s="1">
        <f>(25-D44)*C44/5167</f>
        <v>22.047609831623767</v>
      </c>
      <c r="E48" t="s">
        <v>137</v>
      </c>
      <c r="G48" s="225"/>
      <c r="H48" s="223"/>
      <c r="I48" s="84"/>
    </row>
    <row r="49" spans="1:9" ht="15">
      <c r="A49" t="s">
        <v>145</v>
      </c>
      <c r="C49" s="219">
        <f>H44-C48</f>
        <v>186.93927125506073</v>
      </c>
      <c r="D49" s="1">
        <f>C49</f>
        <v>186.93927125506073</v>
      </c>
      <c r="E49" t="s">
        <v>183</v>
      </c>
      <c r="G49" s="225"/>
      <c r="H49" s="223"/>
      <c r="I49" s="84"/>
    </row>
    <row r="50" spans="1:10" ht="15">
      <c r="A50" t="s">
        <v>66</v>
      </c>
      <c r="C50" s="1">
        <f>C48+C49</f>
        <v>210</v>
      </c>
      <c r="D50" s="129">
        <f>D48+D49</f>
        <v>208.9868810866845</v>
      </c>
      <c r="F50" t="s">
        <v>348</v>
      </c>
      <c r="G50" s="225"/>
      <c r="H50" s="223"/>
      <c r="I50" s="84"/>
      <c r="J50" s="79">
        <f>(40-D45)/5167+(87-40)/3088+(E45-87)/2254</f>
        <v>0.03265957788269222</v>
      </c>
    </row>
    <row r="51" spans="1:9" ht="15">
      <c r="A51" s="82" t="s">
        <v>68</v>
      </c>
      <c r="B51" s="82"/>
      <c r="C51" s="82"/>
      <c r="D51" s="82"/>
      <c r="E51" s="130">
        <f>D50/J50</f>
        <v>6398.946178585978</v>
      </c>
      <c r="G51" s="225"/>
      <c r="H51" s="223"/>
      <c r="I51" s="76"/>
    </row>
    <row r="52" spans="1:9" ht="15">
      <c r="A52" s="3"/>
      <c r="B52" s="3"/>
      <c r="C52" s="3"/>
      <c r="D52" s="3"/>
      <c r="E52" s="228"/>
      <c r="F52" s="3"/>
      <c r="G52" s="225"/>
      <c r="H52" s="223"/>
      <c r="I52" s="76"/>
    </row>
    <row r="53" ht="18">
      <c r="A53" s="161" t="s">
        <v>265</v>
      </c>
    </row>
    <row r="54" ht="15">
      <c r="A54" s="227"/>
    </row>
    <row r="55" ht="15.75">
      <c r="A55" s="200" t="s">
        <v>307</v>
      </c>
    </row>
    <row r="56" ht="15.75">
      <c r="A56" s="200" t="s">
        <v>308</v>
      </c>
    </row>
    <row r="57" ht="15.75">
      <c r="A57" s="200" t="s">
        <v>339</v>
      </c>
    </row>
    <row r="58" ht="15.75">
      <c r="A58" s="200" t="s">
        <v>338</v>
      </c>
    </row>
    <row r="59" ht="15.75">
      <c r="A59" s="200" t="s">
        <v>325</v>
      </c>
    </row>
    <row r="60" ht="15">
      <c r="A60" s="162"/>
    </row>
    <row r="61" spans="1:3" ht="15">
      <c r="A61" s="163" t="s">
        <v>234</v>
      </c>
      <c r="B61" s="149">
        <v>7.2</v>
      </c>
      <c r="C61" s="3" t="s">
        <v>371</v>
      </c>
    </row>
    <row r="62" spans="1:3" ht="15">
      <c r="A62" s="163" t="s">
        <v>235</v>
      </c>
      <c r="B62" s="149">
        <v>112</v>
      </c>
      <c r="C62" s="3" t="s">
        <v>351</v>
      </c>
    </row>
    <row r="63" spans="1:5" ht="15">
      <c r="A63" s="163" t="s">
        <v>350</v>
      </c>
      <c r="B63" s="3"/>
      <c r="C63" s="3"/>
      <c r="D63" s="164">
        <f>IF(B62&lt;39.99,(B62-B61)/5167,(40-B61)/5167+(87-40)/3088+(B62-87)/2254)</f>
        <v>0.03265957788269222</v>
      </c>
      <c r="E63" t="s">
        <v>328</v>
      </c>
    </row>
    <row r="64" spans="1:5" ht="15">
      <c r="A64" t="s">
        <v>352</v>
      </c>
      <c r="D64" s="165">
        <f>((B62-B61)*(4.1+0.0296*(B62+B61)))/1000</f>
        <v>0.7994479360000001</v>
      </c>
      <c r="E64" t="s">
        <v>236</v>
      </c>
    </row>
    <row r="65" spans="1:4" ht="15">
      <c r="A65" t="s">
        <v>354</v>
      </c>
      <c r="D65" s="166">
        <f>1/D63</f>
        <v>30.61888930689288</v>
      </c>
    </row>
    <row r="66" spans="1:4" ht="15">
      <c r="A66" t="s">
        <v>237</v>
      </c>
      <c r="D66" s="166">
        <f>D65*D64</f>
        <v>24.478207859007984</v>
      </c>
    </row>
    <row r="67" spans="1:5" ht="15">
      <c r="A67" t="s">
        <v>238</v>
      </c>
      <c r="D67" s="167">
        <f>D66*1.4</f>
        <v>34.269491002611176</v>
      </c>
      <c r="E67" t="s">
        <v>239</v>
      </c>
    </row>
    <row r="68" spans="4:8" s="3" customFormat="1" ht="15">
      <c r="D68" s="201"/>
      <c r="F68" s="210" t="s">
        <v>318</v>
      </c>
      <c r="G68" s="210"/>
      <c r="H68" s="210"/>
    </row>
    <row r="69" spans="1:8" ht="15">
      <c r="A69" s="82"/>
      <c r="B69" s="82"/>
      <c r="C69" s="82"/>
      <c r="D69" s="209" t="s">
        <v>320</v>
      </c>
      <c r="E69" s="93"/>
      <c r="F69" s="202" t="s">
        <v>321</v>
      </c>
      <c r="G69" s="186" t="s">
        <v>322</v>
      </c>
      <c r="H69" s="93" t="s">
        <v>323</v>
      </c>
    </row>
    <row r="70" spans="1:8" ht="15">
      <c r="A70" s="82" t="s">
        <v>331</v>
      </c>
      <c r="B70" s="82"/>
      <c r="C70" s="82"/>
      <c r="D70" s="209">
        <v>33</v>
      </c>
      <c r="E70" s="93" t="s">
        <v>309</v>
      </c>
      <c r="F70" s="202">
        <v>0.9</v>
      </c>
      <c r="G70" s="186">
        <v>1.34</v>
      </c>
      <c r="H70" s="93">
        <v>1.4</v>
      </c>
    </row>
    <row r="71" spans="1:8" ht="15">
      <c r="A71" s="82" t="s">
        <v>240</v>
      </c>
      <c r="B71" s="82"/>
      <c r="C71" s="82"/>
      <c r="D71" s="209">
        <v>26</v>
      </c>
      <c r="E71" s="93" t="s">
        <v>319</v>
      </c>
      <c r="F71" s="202">
        <v>0.9</v>
      </c>
      <c r="G71" s="186">
        <v>1.34</v>
      </c>
      <c r="H71" s="93">
        <v>0</v>
      </c>
    </row>
    <row r="72" spans="1:8" ht="15">
      <c r="A72" s="82" t="s">
        <v>241</v>
      </c>
      <c r="B72" s="82"/>
      <c r="C72" s="82"/>
      <c r="D72" s="209">
        <v>24</v>
      </c>
      <c r="E72" s="93" t="s">
        <v>310</v>
      </c>
      <c r="F72" s="202">
        <v>0.9</v>
      </c>
      <c r="G72" s="186">
        <v>0</v>
      </c>
      <c r="H72" s="93">
        <v>0</v>
      </c>
    </row>
    <row r="73" spans="1:8" ht="15">
      <c r="A73" s="82" t="s">
        <v>242</v>
      </c>
      <c r="B73" s="82"/>
      <c r="C73" s="82"/>
      <c r="D73" s="209">
        <v>22</v>
      </c>
      <c r="E73" s="93" t="s">
        <v>311</v>
      </c>
      <c r="F73" s="202">
        <v>0.9</v>
      </c>
      <c r="G73" s="186">
        <v>0</v>
      </c>
      <c r="H73" s="93">
        <v>0</v>
      </c>
    </row>
    <row r="74" spans="1:9" ht="18.75">
      <c r="A74" s="207" t="s">
        <v>330</v>
      </c>
      <c r="B74" s="177"/>
      <c r="C74" s="177"/>
      <c r="D74" s="207"/>
      <c r="E74" s="177"/>
      <c r="F74" s="162"/>
      <c r="G74" s="162"/>
      <c r="H74" s="162"/>
      <c r="I74" s="162"/>
    </row>
    <row r="75" spans="4:7" ht="15">
      <c r="D75" s="82" t="s">
        <v>320</v>
      </c>
      <c r="F75" s="173" t="s">
        <v>243</v>
      </c>
      <c r="G75" s="51" t="s">
        <v>244</v>
      </c>
    </row>
    <row r="76" spans="3:7" ht="15">
      <c r="C76" s="168" t="s">
        <v>245</v>
      </c>
      <c r="D76" s="82" t="s">
        <v>246</v>
      </c>
      <c r="F76" s="173" t="s">
        <v>247</v>
      </c>
      <c r="G76" s="51" t="s">
        <v>247</v>
      </c>
    </row>
    <row r="77" spans="1:11" ht="15">
      <c r="A77" t="s">
        <v>248</v>
      </c>
      <c r="C77" s="6">
        <v>70</v>
      </c>
      <c r="D77" s="169">
        <f>IF(C78+C79+C80=0,C77*D67/100,C77*D70/100)</f>
        <v>23.1</v>
      </c>
      <c r="F77" s="174">
        <v>140</v>
      </c>
      <c r="G77" s="50">
        <f>F77/$F$81*100</f>
        <v>70</v>
      </c>
      <c r="H77" s="51" t="s">
        <v>257</v>
      </c>
      <c r="I77" s="51"/>
      <c r="J77" s="51"/>
      <c r="K77" s="51"/>
    </row>
    <row r="78" spans="1:11" ht="15">
      <c r="A78" t="s">
        <v>249</v>
      </c>
      <c r="C78" s="6">
        <v>10</v>
      </c>
      <c r="D78" s="169">
        <f>C78*D71/100</f>
        <v>2.6</v>
      </c>
      <c r="F78" s="174">
        <v>20</v>
      </c>
      <c r="G78" s="50">
        <f>F78/$F$81*100</f>
        <v>10</v>
      </c>
      <c r="H78" s="51" t="s">
        <v>268</v>
      </c>
      <c r="I78" s="51"/>
      <c r="J78" s="51"/>
      <c r="K78" s="51"/>
    </row>
    <row r="79" spans="1:11" ht="15">
      <c r="A79" t="s">
        <v>250</v>
      </c>
      <c r="C79" s="6">
        <v>10</v>
      </c>
      <c r="D79" s="169">
        <f>C79*D72/100</f>
        <v>2.4</v>
      </c>
      <c r="F79" s="174">
        <v>20</v>
      </c>
      <c r="G79" s="50">
        <f>F79/$F$81*100</f>
        <v>10</v>
      </c>
      <c r="H79" s="51" t="s">
        <v>255</v>
      </c>
      <c r="I79" s="51"/>
      <c r="J79" s="51"/>
      <c r="K79" s="51"/>
    </row>
    <row r="80" spans="1:11" ht="15">
      <c r="A80" t="s">
        <v>251</v>
      </c>
      <c r="C80" s="6">
        <v>10</v>
      </c>
      <c r="D80" s="169">
        <f>C80*D73/100</f>
        <v>2.2</v>
      </c>
      <c r="F80" s="174">
        <v>20</v>
      </c>
      <c r="G80" s="50">
        <f>F80/$F$81*100</f>
        <v>10</v>
      </c>
      <c r="H80" s="51" t="s">
        <v>372</v>
      </c>
      <c r="I80" s="51"/>
      <c r="J80" s="51"/>
      <c r="K80" s="51"/>
    </row>
    <row r="81" spans="1:6" ht="15">
      <c r="A81" t="s">
        <v>258</v>
      </c>
      <c r="C81" s="211">
        <f>SUM(C77:C80)</f>
        <v>100</v>
      </c>
      <c r="D81" s="169">
        <f>SUM(D77:D80)</f>
        <v>30.3</v>
      </c>
      <c r="E81" s="82" t="s">
        <v>252</v>
      </c>
      <c r="F81">
        <f>SUM(F77:F80)</f>
        <v>200</v>
      </c>
    </row>
    <row r="82" spans="2:25" ht="15">
      <c r="B82" s="87"/>
      <c r="C82" s="87" t="s">
        <v>332</v>
      </c>
      <c r="D82" s="170"/>
      <c r="E82" s="3"/>
      <c r="Q82" s="172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316</v>
      </c>
      <c r="C83" s="156"/>
      <c r="D83" s="170"/>
      <c r="E83" s="3"/>
      <c r="Q83" s="170"/>
      <c r="R83" s="3"/>
      <c r="S83" s="3"/>
      <c r="T83" s="3"/>
      <c r="U83" s="3"/>
      <c r="V83" s="3"/>
      <c r="W83" s="3"/>
      <c r="X83" s="3"/>
      <c r="Y83" s="3"/>
    </row>
    <row r="84" spans="3:25" ht="15">
      <c r="C84" s="156"/>
      <c r="D84" s="169" t="s">
        <v>312</v>
      </c>
      <c r="E84" s="3"/>
      <c r="F84" s="202" t="s">
        <v>313</v>
      </c>
      <c r="G84" s="186" t="s">
        <v>314</v>
      </c>
      <c r="H84" s="93" t="s">
        <v>315</v>
      </c>
      <c r="Q84" s="170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317</v>
      </c>
      <c r="C85" s="156"/>
      <c r="D85" s="169">
        <f>D81/D66</f>
        <v>1.237835717979231</v>
      </c>
      <c r="E85" s="3"/>
      <c r="F85" s="202">
        <v>0.9</v>
      </c>
      <c r="G85" s="203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253</v>
      </c>
      <c r="D86" s="212">
        <f>$H$37/D85</f>
        <v>169.65094555748107</v>
      </c>
      <c r="E86" s="213"/>
      <c r="F86" s="214">
        <f>$H$37/F85</f>
        <v>233.33333333333331</v>
      </c>
      <c r="G86" s="215">
        <f>$H$37/G85</f>
        <v>195.8955223880597</v>
      </c>
      <c r="H86" s="216">
        <f>$H$37/H85</f>
        <v>214.28571428571428</v>
      </c>
      <c r="I86" s="171" t="s">
        <v>329</v>
      </c>
      <c r="J86" s="171"/>
      <c r="K86" s="171"/>
      <c r="L86" s="171"/>
      <c r="M86" s="176">
        <f>H37</f>
        <v>210</v>
      </c>
      <c r="N86" s="171" t="s">
        <v>73</v>
      </c>
      <c r="O86" s="176" t="s">
        <v>324</v>
      </c>
      <c r="Q86" s="172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333</v>
      </c>
      <c r="D87" s="175"/>
      <c r="E87" s="175"/>
      <c r="F87" s="175"/>
      <c r="G87" s="175"/>
      <c r="H87" s="175"/>
      <c r="I87" s="3"/>
      <c r="J87" s="3"/>
      <c r="K87" s="3"/>
      <c r="L87" s="3"/>
      <c r="M87" s="175"/>
      <c r="N87" s="3"/>
      <c r="O87" s="175"/>
      <c r="Q87" s="172"/>
      <c r="R87" s="3"/>
      <c r="S87" s="3"/>
      <c r="T87" s="3"/>
      <c r="U87" s="3"/>
      <c r="V87" s="3"/>
      <c r="W87" s="3"/>
      <c r="X87" s="3"/>
      <c r="Y87" s="3"/>
    </row>
    <row r="88" spans="1:25" ht="15">
      <c r="A88" s="229" t="s">
        <v>326</v>
      </c>
      <c r="B88" s="82"/>
      <c r="C88" s="82"/>
      <c r="D88" s="135"/>
      <c r="E88" s="135"/>
      <c r="F88" s="135"/>
      <c r="G88" s="135"/>
      <c r="H88" s="135"/>
      <c r="I88" s="82"/>
      <c r="J88" s="82"/>
      <c r="K88" s="82"/>
      <c r="L88" s="82"/>
      <c r="M88" s="135"/>
      <c r="N88" s="82"/>
      <c r="O88" s="135"/>
      <c r="P88" s="3"/>
      <c r="Q88" s="172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259</v>
      </c>
      <c r="C89" s="3"/>
      <c r="D89" s="189">
        <v>203</v>
      </c>
      <c r="E89" s="170"/>
      <c r="F89" s="3"/>
      <c r="G89" s="3"/>
      <c r="H89" s="3"/>
      <c r="I89" s="229" t="s">
        <v>327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260</v>
      </c>
      <c r="C90" s="175"/>
      <c r="D90" s="178">
        <f>$D$89/D85</f>
        <v>163.99591403889838</v>
      </c>
      <c r="E90" s="208"/>
      <c r="F90" s="204">
        <f>$D$89/F85</f>
        <v>225.55555555555554</v>
      </c>
      <c r="G90" s="205">
        <f>$D$89/G85</f>
        <v>189.36567164179104</v>
      </c>
      <c r="H90" s="206">
        <f>$D$89/H85</f>
        <v>207.14285714285714</v>
      </c>
      <c r="I90" s="170"/>
      <c r="J90" s="3"/>
      <c r="K90" s="3"/>
      <c r="L90" s="3"/>
      <c r="M90" s="3"/>
      <c r="N90" s="3"/>
      <c r="O90" s="3"/>
      <c r="P90" s="3"/>
    </row>
    <row r="91" spans="3:16" ht="15">
      <c r="C91" s="175"/>
      <c r="D91" s="17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07"/>
      <c r="B92" s="8"/>
      <c r="C92" s="8"/>
      <c r="D92" s="172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2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2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2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2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199"/>
      <c r="B97" s="3"/>
      <c r="C97" s="3"/>
      <c r="D97" s="170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70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3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28">
      <selection activeCell="C9" sqref="C9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  <col min="9" max="9" width="11.00390625" style="0" customWidth="1"/>
  </cols>
  <sheetData>
    <row r="1" ht="21">
      <c r="A1" s="59" t="s">
        <v>270</v>
      </c>
    </row>
    <row r="2" spans="1:9" ht="15.75">
      <c r="A2" s="75" t="s">
        <v>374</v>
      </c>
      <c r="H2" s="3"/>
      <c r="I2" s="3"/>
    </row>
    <row r="3" spans="1:9" ht="15">
      <c r="A3" s="2" t="s">
        <v>40</v>
      </c>
      <c r="B3" s="2"/>
      <c r="C3" s="2"/>
      <c r="D3" s="2"/>
      <c r="E3" s="141" t="s">
        <v>375</v>
      </c>
      <c r="F3" s="141"/>
      <c r="G3" s="141"/>
      <c r="H3" s="141"/>
      <c r="I3" s="141"/>
    </row>
    <row r="4" spans="1:10" ht="15">
      <c r="A4" s="20" t="s">
        <v>376</v>
      </c>
      <c r="B4" s="20"/>
      <c r="C4" s="20"/>
      <c r="D4" s="20"/>
      <c r="E4" s="20"/>
      <c r="F4" s="20"/>
      <c r="G4" s="20"/>
      <c r="H4" s="20"/>
      <c r="I4" s="20"/>
      <c r="J4" s="77" t="s">
        <v>147</v>
      </c>
    </row>
    <row r="5" spans="1:16" ht="15">
      <c r="A5" s="20" t="s">
        <v>61</v>
      </c>
      <c r="B5" s="20"/>
      <c r="C5" s="20"/>
      <c r="D5" s="20"/>
      <c r="E5" s="20"/>
      <c r="F5" s="20"/>
      <c r="G5" s="20"/>
      <c r="H5" s="20"/>
      <c r="I5" s="20"/>
      <c r="J5" t="s">
        <v>380</v>
      </c>
      <c r="P5" s="87"/>
    </row>
    <row r="6" spans="1:10" ht="15">
      <c r="A6" s="3" t="s">
        <v>286</v>
      </c>
      <c r="B6" s="3"/>
      <c r="C6" s="3"/>
      <c r="D6" s="3"/>
      <c r="E6" s="3"/>
      <c r="F6" s="3"/>
      <c r="G6" s="3"/>
      <c r="H6" s="3"/>
      <c r="I6" s="3"/>
      <c r="J6" t="s">
        <v>152</v>
      </c>
    </row>
    <row r="7" spans="1:10" ht="15">
      <c r="A7" s="12" t="s">
        <v>386</v>
      </c>
      <c r="B7" s="13"/>
      <c r="C7" s="13"/>
      <c r="D7" s="13"/>
      <c r="E7" s="13"/>
      <c r="F7" s="13"/>
      <c r="G7" s="13"/>
      <c r="H7" s="13"/>
      <c r="I7" s="13"/>
      <c r="J7" s="87"/>
    </row>
    <row r="8" spans="1:16" ht="15">
      <c r="A8" s="17" t="s">
        <v>25</v>
      </c>
      <c r="B8" s="18"/>
      <c r="C8" s="18"/>
      <c r="D8" s="27" t="s">
        <v>28</v>
      </c>
      <c r="E8" s="27" t="s">
        <v>55</v>
      </c>
      <c r="F8" s="27" t="s">
        <v>51</v>
      </c>
      <c r="G8" s="12" t="s">
        <v>53</v>
      </c>
      <c r="H8" s="13"/>
      <c r="I8" s="13"/>
      <c r="J8" t="s">
        <v>148</v>
      </c>
      <c r="P8" s="87"/>
    </row>
    <row r="9" spans="1:16" ht="15">
      <c r="A9" s="18"/>
      <c r="B9" s="27" t="s">
        <v>0</v>
      </c>
      <c r="C9" s="18" t="s">
        <v>341</v>
      </c>
      <c r="D9" s="27" t="s">
        <v>377</v>
      </c>
      <c r="E9" s="27" t="s">
        <v>33</v>
      </c>
      <c r="F9" s="27" t="s">
        <v>36</v>
      </c>
      <c r="G9" s="12" t="s">
        <v>37</v>
      </c>
      <c r="H9" s="13"/>
      <c r="I9" s="13"/>
      <c r="J9" t="s">
        <v>149</v>
      </c>
      <c r="P9" s="87"/>
    </row>
    <row r="10" spans="1:16" ht="15">
      <c r="A10" s="17"/>
      <c r="B10" s="26" t="s">
        <v>29</v>
      </c>
      <c r="C10" s="26" t="s">
        <v>302</v>
      </c>
      <c r="D10" s="27" t="s">
        <v>32</v>
      </c>
      <c r="E10" s="27" t="s">
        <v>34</v>
      </c>
      <c r="F10" s="27" t="s">
        <v>31</v>
      </c>
      <c r="G10" s="12" t="s">
        <v>278</v>
      </c>
      <c r="H10" s="13"/>
      <c r="I10" s="13"/>
      <c r="J10" t="s">
        <v>294</v>
      </c>
      <c r="P10" s="87"/>
    </row>
    <row r="11" spans="1:9" ht="15">
      <c r="A11" s="18" t="s">
        <v>39</v>
      </c>
      <c r="B11" s="21">
        <v>0</v>
      </c>
      <c r="C11" s="5">
        <v>1000</v>
      </c>
      <c r="D11" s="61">
        <v>1</v>
      </c>
      <c r="E11" s="30">
        <f>IF(B11&gt;0,IF(B17&lt;C17,B18/D17,C18/D17),C18/D17)</f>
        <v>1064.713208815712</v>
      </c>
      <c r="F11" s="30">
        <f>E11/D25*I24</f>
        <v>5768.554047570533</v>
      </c>
      <c r="G11" s="182">
        <f>IF(F11/D20&lt;E11,F11/D20,E11)</f>
        <v>1060.3959646269361</v>
      </c>
      <c r="H11" s="13" t="s">
        <v>131</v>
      </c>
      <c r="I11" s="13"/>
    </row>
    <row r="12" spans="1:10" ht="15">
      <c r="A12" s="18" t="s">
        <v>20</v>
      </c>
      <c r="B12" s="21">
        <v>26</v>
      </c>
      <c r="C12" s="61">
        <v>24.6</v>
      </c>
      <c r="D12" s="58">
        <v>30</v>
      </c>
      <c r="E12" s="18"/>
      <c r="F12" s="27"/>
      <c r="G12" s="182">
        <f>G11*D17</f>
        <v>26307.724021057635</v>
      </c>
      <c r="H12" s="13" t="s">
        <v>44</v>
      </c>
      <c r="I12" s="13"/>
      <c r="J12" t="s">
        <v>150</v>
      </c>
    </row>
    <row r="13" spans="1:10" ht="15">
      <c r="A13" s="18" t="s">
        <v>1</v>
      </c>
      <c r="B13" s="21">
        <v>7.3</v>
      </c>
      <c r="C13" s="61">
        <v>7.2</v>
      </c>
      <c r="D13" s="61">
        <v>7.1</v>
      </c>
      <c r="E13" s="18"/>
      <c r="F13" s="27"/>
      <c r="G13" s="182">
        <f>G11*D20</f>
        <v>5768.554047570533</v>
      </c>
      <c r="H13" s="13" t="s">
        <v>45</v>
      </c>
      <c r="I13" s="13"/>
      <c r="J13" t="s">
        <v>151</v>
      </c>
    </row>
    <row r="14" spans="1:19" ht="15">
      <c r="A14" s="18" t="s">
        <v>2</v>
      </c>
      <c r="B14" s="22">
        <v>138</v>
      </c>
      <c r="C14" s="58">
        <v>142.8</v>
      </c>
      <c r="D14" s="61">
        <v>133.1</v>
      </c>
      <c r="E14" s="18"/>
      <c r="F14" s="27"/>
      <c r="G14" s="182">
        <f>G11*D19</f>
        <v>5747.346128277994</v>
      </c>
      <c r="H14" s="13" t="s">
        <v>46</v>
      </c>
      <c r="I14" s="13"/>
      <c r="P14" s="18" t="s">
        <v>60</v>
      </c>
      <c r="Q14" s="19"/>
      <c r="R14" s="18"/>
      <c r="S14" s="18"/>
    </row>
    <row r="15" spans="1:19" ht="15">
      <c r="A15" s="18" t="s">
        <v>3</v>
      </c>
      <c r="B15" s="23">
        <v>5</v>
      </c>
      <c r="C15" s="62">
        <v>5.2</v>
      </c>
      <c r="D15" s="61">
        <v>4.8</v>
      </c>
      <c r="E15" s="18"/>
      <c r="F15" s="18"/>
      <c r="G15" s="14">
        <f>G11/D25</f>
        <v>240.38340880475323</v>
      </c>
      <c r="H15" s="13" t="s">
        <v>50</v>
      </c>
      <c r="I15" s="13"/>
      <c r="J15" t="s">
        <v>153</v>
      </c>
      <c r="P15" s="18" t="s">
        <v>58</v>
      </c>
      <c r="Q15" s="18"/>
      <c r="R15" s="18"/>
      <c r="S15" s="18"/>
    </row>
    <row r="16" spans="1:19" ht="15">
      <c r="A16" s="18" t="s">
        <v>4</v>
      </c>
      <c r="B16" s="21">
        <v>1490</v>
      </c>
      <c r="C16" s="61">
        <v>1442</v>
      </c>
      <c r="D16" s="61">
        <v>1515</v>
      </c>
      <c r="E16" s="18"/>
      <c r="F16" s="13" t="s">
        <v>279</v>
      </c>
      <c r="G16" s="184"/>
      <c r="H16" s="13"/>
      <c r="I16" s="13"/>
      <c r="J16" t="s">
        <v>154</v>
      </c>
      <c r="P16" s="18" t="s">
        <v>59</v>
      </c>
      <c r="Q16" s="18"/>
      <c r="R16" s="18"/>
      <c r="S16" s="18"/>
    </row>
    <row r="17" spans="1:9" ht="15">
      <c r="A17" s="18" t="s">
        <v>21</v>
      </c>
      <c r="B17" s="30">
        <f>(B$16*B$14)/6250-1.98-(B$12*B$13*0.0257)</f>
        <v>26.041339999999998</v>
      </c>
      <c r="C17" s="30">
        <f>(C$16*C$14)/6250-1.98-(C$12*C$13*0.0257)</f>
        <v>26.414831999999997</v>
      </c>
      <c r="D17" s="30">
        <f>(D$16*D$14)/6250-1.98-(D$12*D$13*0.0257)</f>
        <v>24.809340000000002</v>
      </c>
      <c r="E17" s="18"/>
      <c r="F17" s="13" t="s">
        <v>280</v>
      </c>
      <c r="G17" s="13"/>
      <c r="H17" s="14">
        <f>30/D23</f>
        <v>1.2547534293542346</v>
      </c>
      <c r="I17" s="185" t="s">
        <v>283</v>
      </c>
    </row>
    <row r="18" spans="1:10" ht="15">
      <c r="A18" s="18" t="s">
        <v>5</v>
      </c>
      <c r="B18" s="36">
        <f>B11*B17</f>
        <v>0</v>
      </c>
      <c r="C18" s="32">
        <f>C11*C17</f>
        <v>26414.832</v>
      </c>
      <c r="D18" s="32">
        <v>24.8</v>
      </c>
      <c r="E18" s="19"/>
      <c r="F18" s="13" t="s">
        <v>281</v>
      </c>
      <c r="G18" s="13"/>
      <c r="H18" s="182">
        <f>E11</f>
        <v>1064.713208815712</v>
      </c>
      <c r="I18" s="182" t="s">
        <v>282</v>
      </c>
      <c r="J18" t="s">
        <v>196</v>
      </c>
    </row>
    <row r="19" spans="1:10" ht="15">
      <c r="A19" s="18" t="s">
        <v>19</v>
      </c>
      <c r="B19" s="30">
        <f>(B$16*B$15)/1000-0.58-(B$12*B$13*0.006)</f>
        <v>5.7312</v>
      </c>
      <c r="C19" s="30">
        <f>(C$16*C$15)/1000-0.58-(C$12*C$13*0.006)</f>
        <v>5.8556799999999996</v>
      </c>
      <c r="D19" s="30">
        <v>5.42</v>
      </c>
      <c r="E19" s="18"/>
      <c r="F19" s="18"/>
      <c r="G19" s="18"/>
      <c r="H19" s="18"/>
      <c r="I19" s="18"/>
      <c r="J19" t="s">
        <v>157</v>
      </c>
    </row>
    <row r="20" spans="1:10" ht="15">
      <c r="A20" s="18" t="s">
        <v>41</v>
      </c>
      <c r="B20" s="30"/>
      <c r="C20" s="30"/>
      <c r="D20" s="6">
        <v>5.44</v>
      </c>
      <c r="E20" s="230" t="s">
        <v>57</v>
      </c>
      <c r="F20" s="181"/>
      <c r="G20" s="181"/>
      <c r="H20" s="181"/>
      <c r="I20" s="18"/>
      <c r="J20" t="s">
        <v>155</v>
      </c>
    </row>
    <row r="21" spans="1:10" ht="15">
      <c r="A21" s="18" t="s">
        <v>15</v>
      </c>
      <c r="B21" s="36">
        <f>B11*B19</f>
        <v>0</v>
      </c>
      <c r="C21" s="33">
        <f>C11*C19</f>
        <v>5855.679999999999</v>
      </c>
      <c r="D21" s="30">
        <f>D11*D19</f>
        <v>5.42</v>
      </c>
      <c r="E21" s="230" t="s">
        <v>384</v>
      </c>
      <c r="F21" s="181"/>
      <c r="G21" s="181"/>
      <c r="H21" s="181"/>
      <c r="I21" s="18"/>
      <c r="J21" t="s">
        <v>156</v>
      </c>
    </row>
    <row r="22" spans="1:10" ht="15">
      <c r="A22" s="18" t="s">
        <v>271</v>
      </c>
      <c r="B22" s="34">
        <f>1/4.4+B12*(B13-7.2)/5167</f>
        <v>0.22777592061509228</v>
      </c>
      <c r="C22" s="34">
        <f>1/4.4+C12*(C13-7.2)/5167</f>
        <v>0.22727272727272727</v>
      </c>
      <c r="D22" s="34">
        <f>1/4.4+D12*(D13-7.2)/5167</f>
        <v>0.2266921195699984</v>
      </c>
      <c r="E22" s="18" t="s">
        <v>284</v>
      </c>
      <c r="F22" s="18"/>
      <c r="G22" s="18"/>
      <c r="H22" s="18"/>
      <c r="I22" s="18"/>
      <c r="J22" t="s">
        <v>275</v>
      </c>
    </row>
    <row r="23" spans="1:10" ht="15">
      <c r="A23" s="18" t="s">
        <v>272</v>
      </c>
      <c r="B23" s="30">
        <f>B19/B22</f>
        <v>25.161571005940015</v>
      </c>
      <c r="C23" s="30">
        <f>C19/C22</f>
        <v>25.764992</v>
      </c>
      <c r="D23" s="30">
        <f>D19/D22</f>
        <v>23.90907990220808</v>
      </c>
      <c r="E23" s="56" t="s">
        <v>54</v>
      </c>
      <c r="F23" s="4"/>
      <c r="G23" s="4"/>
      <c r="H23" s="4"/>
      <c r="I23" s="57">
        <f>D20/D22</f>
        <v>23.9973052893011</v>
      </c>
      <c r="J23" t="s">
        <v>276</v>
      </c>
    </row>
    <row r="24" spans="1:10" ht="15">
      <c r="A24" s="18" t="s">
        <v>23</v>
      </c>
      <c r="B24" s="31">
        <f>B11*B22</f>
        <v>0</v>
      </c>
      <c r="C24" s="30">
        <f>C11*C22</f>
        <v>227.27272727272725</v>
      </c>
      <c r="D24" s="31">
        <f>D11*D22</f>
        <v>0.2266921195699984</v>
      </c>
      <c r="E24" s="4" t="s">
        <v>385</v>
      </c>
      <c r="F24" s="4"/>
      <c r="G24" s="57"/>
      <c r="H24" s="4"/>
      <c r="I24" s="149">
        <v>23.9</v>
      </c>
      <c r="J24" t="s">
        <v>277</v>
      </c>
    </row>
    <row r="25" spans="1:10" ht="15">
      <c r="A25" s="18" t="s">
        <v>22</v>
      </c>
      <c r="B25" s="31">
        <f>1/B22</f>
        <v>4.390279698133028</v>
      </c>
      <c r="C25" s="31">
        <f>1/C22</f>
        <v>4.4</v>
      </c>
      <c r="D25" s="31">
        <f>1/D22</f>
        <v>4.411269354650937</v>
      </c>
      <c r="E25" s="4" t="s">
        <v>285</v>
      </c>
      <c r="F25" s="4"/>
      <c r="G25" s="4"/>
      <c r="H25" s="4"/>
      <c r="I25" s="4"/>
      <c r="J25" s="77" t="s">
        <v>185</v>
      </c>
    </row>
    <row r="26" spans="1:16" ht="15">
      <c r="A26" s="126" t="s">
        <v>378</v>
      </c>
      <c r="B26" s="187"/>
      <c r="C26" s="187"/>
      <c r="D26" s="187"/>
      <c r="E26" s="51"/>
      <c r="F26" s="51"/>
      <c r="G26" s="51"/>
      <c r="H26" s="51"/>
      <c r="I26" s="51"/>
      <c r="J26" t="s">
        <v>186</v>
      </c>
      <c r="P26" s="87"/>
    </row>
    <row r="27" spans="1:10" ht="15">
      <c r="A27" s="37" t="s">
        <v>24</v>
      </c>
      <c r="B27" s="38"/>
      <c r="C27" s="38"/>
      <c r="D27" s="41" t="s">
        <v>28</v>
      </c>
      <c r="E27" s="41" t="s">
        <v>30</v>
      </c>
      <c r="F27" s="41" t="s">
        <v>35</v>
      </c>
      <c r="G27" s="74" t="s">
        <v>52</v>
      </c>
      <c r="H27" s="51"/>
      <c r="I27" s="51"/>
      <c r="J27" t="s">
        <v>187</v>
      </c>
    </row>
    <row r="28" spans="1:10" ht="15">
      <c r="A28" s="11"/>
      <c r="B28" s="48" t="s">
        <v>0</v>
      </c>
      <c r="C28" s="38" t="s">
        <v>341</v>
      </c>
      <c r="D28" s="41" t="s">
        <v>377</v>
      </c>
      <c r="E28" s="41" t="s">
        <v>33</v>
      </c>
      <c r="F28" s="41" t="s">
        <v>36</v>
      </c>
      <c r="G28" s="74" t="s">
        <v>37</v>
      </c>
      <c r="H28" s="51"/>
      <c r="I28" s="51"/>
      <c r="J28" t="s">
        <v>188</v>
      </c>
    </row>
    <row r="29" spans="1:10" ht="15">
      <c r="A29" s="39"/>
      <c r="B29" s="40" t="s">
        <v>29</v>
      </c>
      <c r="C29" s="40" t="s">
        <v>29</v>
      </c>
      <c r="D29" s="41" t="s">
        <v>32</v>
      </c>
      <c r="E29" s="41" t="s">
        <v>34</v>
      </c>
      <c r="F29" s="41" t="s">
        <v>31</v>
      </c>
      <c r="G29" s="74" t="s">
        <v>38</v>
      </c>
      <c r="H29" s="51"/>
      <c r="I29" s="51"/>
      <c r="J29" t="s">
        <v>189</v>
      </c>
    </row>
    <row r="30" spans="1:10" ht="15">
      <c r="A30" s="11" t="s">
        <v>6</v>
      </c>
      <c r="B30" s="21">
        <v>0</v>
      </c>
      <c r="C30" s="5">
        <v>10000</v>
      </c>
      <c r="D30" s="41">
        <v>1</v>
      </c>
      <c r="E30" s="48">
        <f>IF(B30&gt;0,IF(B36&lt;C36,B37/D36,C37/D36),C37/D36)</f>
        <v>11780.382804131214</v>
      </c>
      <c r="F30" s="48">
        <f>E30/D44*I43</f>
        <v>1591.115454102398</v>
      </c>
      <c r="G30" s="183">
        <f>IF(F30/D39&lt;E30,F30/D39,E30)</f>
        <v>11780.382804131214</v>
      </c>
      <c r="H30" s="51" t="s">
        <v>43</v>
      </c>
      <c r="I30" s="51"/>
      <c r="J30" t="s">
        <v>190</v>
      </c>
    </row>
    <row r="31" spans="1:10" ht="15">
      <c r="A31" s="11" t="s">
        <v>7</v>
      </c>
      <c r="B31" s="22">
        <v>7.3</v>
      </c>
      <c r="C31" s="9">
        <v>7.1</v>
      </c>
      <c r="D31" s="60">
        <v>7.1</v>
      </c>
      <c r="E31" s="11"/>
      <c r="F31" s="11"/>
      <c r="G31" s="54">
        <f>G30*D36</f>
        <v>5572.12248</v>
      </c>
      <c r="H31" s="51" t="s">
        <v>44</v>
      </c>
      <c r="I31" s="51"/>
      <c r="J31" t="s">
        <v>194</v>
      </c>
    </row>
    <row r="32" spans="1:10" ht="15">
      <c r="A32" s="11" t="s">
        <v>8</v>
      </c>
      <c r="B32" s="22">
        <v>32</v>
      </c>
      <c r="C32" s="9">
        <v>31</v>
      </c>
      <c r="D32" s="25">
        <v>31</v>
      </c>
      <c r="E32" s="11"/>
      <c r="F32" s="11"/>
      <c r="G32" s="54">
        <f>G30*D39</f>
        <v>1448.017559403359</v>
      </c>
      <c r="H32" s="51" t="s">
        <v>45</v>
      </c>
      <c r="I32" s="51"/>
      <c r="J32" t="s">
        <v>195</v>
      </c>
    </row>
    <row r="33" spans="1:10" ht="15">
      <c r="A33" s="11" t="s">
        <v>11</v>
      </c>
      <c r="B33" s="22">
        <v>170</v>
      </c>
      <c r="C33" s="63" t="s">
        <v>48</v>
      </c>
      <c r="D33" s="64" t="s">
        <v>49</v>
      </c>
      <c r="E33" s="11"/>
      <c r="F33" s="11"/>
      <c r="G33" s="54">
        <f>G30*D38</f>
        <v>1448.017559403359</v>
      </c>
      <c r="H33" s="51" t="s">
        <v>46</v>
      </c>
      <c r="I33" s="51"/>
      <c r="J33" t="s">
        <v>191</v>
      </c>
    </row>
    <row r="34" spans="1:10" ht="15">
      <c r="A34" s="11" t="s">
        <v>12</v>
      </c>
      <c r="B34" s="23">
        <v>5</v>
      </c>
      <c r="C34" s="65" t="s">
        <v>47</v>
      </c>
      <c r="D34" s="64" t="s">
        <v>47</v>
      </c>
      <c r="E34" s="11"/>
      <c r="F34" s="11"/>
      <c r="G34" s="53">
        <f>G30/D44</f>
        <v>54.490255277479385</v>
      </c>
      <c r="H34" s="51" t="s">
        <v>50</v>
      </c>
      <c r="I34" s="51"/>
      <c r="J34" t="s">
        <v>192</v>
      </c>
    </row>
    <row r="35" spans="1:10" ht="15">
      <c r="A35" s="11" t="s">
        <v>9</v>
      </c>
      <c r="B35" s="24">
        <v>1.98</v>
      </c>
      <c r="C35" s="66"/>
      <c r="D35" s="67"/>
      <c r="E35" s="42"/>
      <c r="F35" s="11" t="s">
        <v>60</v>
      </c>
      <c r="G35" s="11"/>
      <c r="H35" s="11"/>
      <c r="I35" s="11"/>
      <c r="J35" t="s">
        <v>193</v>
      </c>
    </row>
    <row r="36" spans="1:10" ht="15">
      <c r="A36" s="11" t="s">
        <v>42</v>
      </c>
      <c r="B36" s="43">
        <f>((B32-B31)*B35*B33/6250)-(B32-B31)*0.0304</f>
        <v>0.5793632</v>
      </c>
      <c r="C36" s="226">
        <f>(C32-C31)*(15.42+0.2072*(C32+C31))/1000</f>
        <v>0.557212248</v>
      </c>
      <c r="D36" s="43">
        <f>(D32-D31)*(13.39+0.168*(D32+D31))/1000</f>
        <v>0.47300011999999997</v>
      </c>
      <c r="E36" s="11"/>
      <c r="F36" s="11" t="s">
        <v>58</v>
      </c>
      <c r="G36" s="11"/>
      <c r="H36" s="11"/>
      <c r="I36" s="11"/>
      <c r="J36" t="s">
        <v>343</v>
      </c>
    </row>
    <row r="37" spans="1:19" ht="15">
      <c r="A37" s="11" t="s">
        <v>5</v>
      </c>
      <c r="B37" s="44">
        <f>B30*B36</f>
        <v>0</v>
      </c>
      <c r="C37" s="44">
        <f>C30*C36</f>
        <v>5572.12248</v>
      </c>
      <c r="D37" s="43">
        <f>D30*D36</f>
        <v>0.47300011999999997</v>
      </c>
      <c r="E37" s="46"/>
      <c r="F37" s="11" t="s">
        <v>59</v>
      </c>
      <c r="G37" s="11"/>
      <c r="H37" s="11"/>
      <c r="I37" s="11"/>
      <c r="J37" t="s">
        <v>344</v>
      </c>
      <c r="P37" s="18" t="s">
        <v>60</v>
      </c>
      <c r="Q37" s="18"/>
      <c r="R37" s="18"/>
      <c r="S37" s="18"/>
    </row>
    <row r="38" spans="1:19" ht="15">
      <c r="A38" s="11" t="s">
        <v>13</v>
      </c>
      <c r="B38" s="43">
        <f>((B32-B31)*B35*B34/1000)-(B32-B31)*0.0049</f>
        <v>0.1235</v>
      </c>
      <c r="C38" s="43"/>
      <c r="D38" s="226">
        <f>(D32-D31)*(4+0.03*(D32+D31))/1000</f>
        <v>0.12291769999999998</v>
      </c>
      <c r="E38" s="55" t="s">
        <v>204</v>
      </c>
      <c r="F38" s="51"/>
      <c r="G38" s="196"/>
      <c r="H38" s="51"/>
      <c r="I38" s="149">
        <v>50</v>
      </c>
      <c r="P38" s="18" t="s">
        <v>58</v>
      </c>
      <c r="Q38" s="18"/>
      <c r="R38" s="18"/>
      <c r="S38" s="18"/>
    </row>
    <row r="39" spans="1:19" ht="15">
      <c r="A39" s="11" t="s">
        <v>197</v>
      </c>
      <c r="B39" s="43"/>
      <c r="C39" s="43"/>
      <c r="D39" s="231">
        <f>(123*I38/100+123*I39/100+124*I40/100+130*I41/100)/123*D38</f>
        <v>0.12291769999999998</v>
      </c>
      <c r="E39" s="51" t="s">
        <v>205</v>
      </c>
      <c r="F39" s="51"/>
      <c r="G39" s="51"/>
      <c r="H39" s="51"/>
      <c r="I39" s="149">
        <v>50</v>
      </c>
      <c r="P39" s="18" t="s">
        <v>59</v>
      </c>
      <c r="Q39" s="18"/>
      <c r="R39" s="18"/>
      <c r="S39" s="18"/>
    </row>
    <row r="40" spans="1:10" ht="15">
      <c r="A40" s="11" t="s">
        <v>14</v>
      </c>
      <c r="B40" s="125">
        <f>B30*B38</f>
        <v>0</v>
      </c>
      <c r="C40" s="45"/>
      <c r="D40" s="46"/>
      <c r="E40" s="55" t="s">
        <v>208</v>
      </c>
      <c r="F40" s="51"/>
      <c r="G40" s="51"/>
      <c r="H40" s="51"/>
      <c r="I40" s="149">
        <v>0</v>
      </c>
      <c r="J40" s="82" t="s">
        <v>209</v>
      </c>
    </row>
    <row r="41" spans="1:11" ht="15">
      <c r="A41" s="11" t="s">
        <v>271</v>
      </c>
      <c r="B41" s="47">
        <f>(B32-B31)/5167</f>
        <v>0.004780336752467583</v>
      </c>
      <c r="C41" s="47">
        <f>(C32-C31)/5167</f>
        <v>0.004625508031739887</v>
      </c>
      <c r="D41" s="47">
        <f>(D32-D31)/5167</f>
        <v>0.004625508031739887</v>
      </c>
      <c r="E41" s="55" t="s">
        <v>207</v>
      </c>
      <c r="F41" s="51"/>
      <c r="G41" s="51"/>
      <c r="H41" s="51"/>
      <c r="I41" s="149">
        <v>0</v>
      </c>
      <c r="J41" s="148">
        <f>I38+I39+I40+I41</f>
        <v>100</v>
      </c>
      <c r="K41" t="s">
        <v>210</v>
      </c>
    </row>
    <row r="42" spans="1:9" ht="15">
      <c r="A42" s="11" t="s">
        <v>287</v>
      </c>
      <c r="B42" s="48">
        <f>B38/B41</f>
        <v>25.835</v>
      </c>
      <c r="C42" s="48">
        <f>C38/C41</f>
        <v>0</v>
      </c>
      <c r="D42" s="48">
        <f>D38/D41</f>
        <v>26.573881</v>
      </c>
      <c r="E42" s="195" t="s">
        <v>227</v>
      </c>
      <c r="F42" s="11"/>
      <c r="G42" s="11"/>
      <c r="H42" s="11"/>
      <c r="I42" s="92">
        <f>D39/D41</f>
        <v>26.573881</v>
      </c>
    </row>
    <row r="43" spans="1:9" ht="15">
      <c r="A43" s="11" t="s">
        <v>288</v>
      </c>
      <c r="B43" s="48">
        <f>B30*B41</f>
        <v>0</v>
      </c>
      <c r="C43" s="48">
        <f>C30*C41</f>
        <v>46.25508031739887</v>
      </c>
      <c r="D43" s="11"/>
      <c r="E43" s="51" t="s">
        <v>291</v>
      </c>
      <c r="F43" s="51"/>
      <c r="G43" s="50"/>
      <c r="H43" s="51"/>
      <c r="I43" s="51">
        <f>I38/100*29.2+I39/100*29.2+I40/100*29.4+I41/100*30.6</f>
        <v>29.2</v>
      </c>
    </row>
    <row r="44" spans="1:9" ht="15">
      <c r="A44" s="11" t="s">
        <v>198</v>
      </c>
      <c r="B44" s="49">
        <f>1/B41</f>
        <v>209.19028340080973</v>
      </c>
      <c r="C44" s="49">
        <f>1/C41</f>
        <v>216.19246861924688</v>
      </c>
      <c r="D44" s="49">
        <f>1/D41</f>
        <v>216.19246861924688</v>
      </c>
      <c r="E44" s="51" t="s">
        <v>289</v>
      </c>
      <c r="F44" s="51"/>
      <c r="G44" s="51"/>
      <c r="H44" s="51"/>
      <c r="I44" s="51"/>
    </row>
    <row r="45" spans="1:9" ht="15">
      <c r="A45" s="127" t="s">
        <v>379</v>
      </c>
      <c r="B45" s="96"/>
      <c r="C45" s="96"/>
      <c r="D45" s="4"/>
      <c r="E45" s="4"/>
      <c r="F45" s="4"/>
      <c r="G45" s="4"/>
      <c r="H45" s="4"/>
      <c r="I45" s="4"/>
    </row>
    <row r="46" spans="1:10" ht="15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77" t="s">
        <v>200</v>
      </c>
    </row>
    <row r="47" spans="1:16" ht="15">
      <c r="A47" s="18" t="s">
        <v>303</v>
      </c>
      <c r="B47" s="18"/>
      <c r="C47" s="18"/>
      <c r="D47" s="18"/>
      <c r="E47" s="18"/>
      <c r="F47" s="18"/>
      <c r="G47" s="18"/>
      <c r="H47" s="18"/>
      <c r="I47" s="18"/>
      <c r="J47" t="s">
        <v>297</v>
      </c>
      <c r="P47" s="87" t="s">
        <v>273</v>
      </c>
    </row>
    <row r="48" spans="1:16" ht="15">
      <c r="A48" s="18"/>
      <c r="B48" s="28"/>
      <c r="C48" s="28"/>
      <c r="D48" s="27" t="s">
        <v>28</v>
      </c>
      <c r="E48" s="27" t="s">
        <v>30</v>
      </c>
      <c r="F48" s="27" t="s">
        <v>35</v>
      </c>
      <c r="G48" s="73" t="s">
        <v>52</v>
      </c>
      <c r="H48" s="4"/>
      <c r="I48" s="4"/>
      <c r="J48" t="s">
        <v>298</v>
      </c>
      <c r="P48" s="87" t="s">
        <v>274</v>
      </c>
    </row>
    <row r="49" spans="1:10" ht="15">
      <c r="A49" s="18"/>
      <c r="B49" s="30" t="s">
        <v>0</v>
      </c>
      <c r="C49" s="28" t="s">
        <v>341</v>
      </c>
      <c r="D49" s="27" t="s">
        <v>377</v>
      </c>
      <c r="E49" s="27" t="s">
        <v>33</v>
      </c>
      <c r="F49" s="27" t="s">
        <v>36</v>
      </c>
      <c r="G49" s="73" t="s">
        <v>37</v>
      </c>
      <c r="H49" s="4"/>
      <c r="I49" s="4"/>
      <c r="J49" t="s">
        <v>301</v>
      </c>
    </row>
    <row r="50" spans="1:10" ht="15">
      <c r="A50" s="18"/>
      <c r="B50" s="26" t="s">
        <v>29</v>
      </c>
      <c r="C50" s="26" t="s">
        <v>29</v>
      </c>
      <c r="D50" s="27" t="s">
        <v>32</v>
      </c>
      <c r="E50" s="27" t="s">
        <v>34</v>
      </c>
      <c r="F50" s="27" t="s">
        <v>290</v>
      </c>
      <c r="G50" s="73" t="s">
        <v>38</v>
      </c>
      <c r="H50" s="4"/>
      <c r="I50" s="4"/>
      <c r="J50" t="s">
        <v>345</v>
      </c>
    </row>
    <row r="51" spans="1:9" ht="15">
      <c r="A51" s="18" t="s">
        <v>16</v>
      </c>
      <c r="B51" s="21">
        <v>0</v>
      </c>
      <c r="C51" s="5">
        <v>10000</v>
      </c>
      <c r="D51" s="27">
        <v>1</v>
      </c>
      <c r="E51" s="30">
        <f>IF(B51&gt;0,IF(B58&lt;C58,B59/D58,C59/D58),C59/D58)</f>
        <v>12038.18976212309</v>
      </c>
      <c r="F51" s="30">
        <f>E51/D66*I65</f>
        <v>7292.787091802579</v>
      </c>
      <c r="G51" s="180">
        <f>IF(F51/D61&lt;E51,F51/D61,E51)</f>
        <v>11199.50882672769</v>
      </c>
      <c r="H51" s="4" t="s">
        <v>43</v>
      </c>
      <c r="I51" s="4"/>
    </row>
    <row r="52" spans="1:10" ht="15">
      <c r="A52" s="18" t="s">
        <v>7</v>
      </c>
      <c r="B52" s="22">
        <v>32</v>
      </c>
      <c r="C52" s="9">
        <v>31</v>
      </c>
      <c r="D52" s="60">
        <v>31</v>
      </c>
      <c r="E52" s="18"/>
      <c r="F52" s="18"/>
      <c r="G52" s="15">
        <f>G51*D58</f>
        <v>32805.175673915335</v>
      </c>
      <c r="H52" s="4" t="s">
        <v>44</v>
      </c>
      <c r="I52" s="4"/>
      <c r="J52" t="s">
        <v>299</v>
      </c>
    </row>
    <row r="53" spans="1:10" ht="15">
      <c r="A53" s="18" t="s">
        <v>26</v>
      </c>
      <c r="B53" s="58">
        <f>B54/1.31</f>
        <v>81.6793893129771</v>
      </c>
      <c r="C53" s="58">
        <f>C54/1.31</f>
        <v>83.96946564885496</v>
      </c>
      <c r="D53" s="29">
        <f>D54/1.31</f>
        <v>83.96946564885496</v>
      </c>
      <c r="E53" s="18"/>
      <c r="F53" s="18"/>
      <c r="G53" s="15">
        <f>G51*D61</f>
        <v>7292.787091802578</v>
      </c>
      <c r="H53" s="4" t="s">
        <v>45</v>
      </c>
      <c r="I53" s="4"/>
      <c r="J53" t="s">
        <v>300</v>
      </c>
    </row>
    <row r="54" spans="1:10" ht="15">
      <c r="A54" s="18" t="s">
        <v>18</v>
      </c>
      <c r="B54" s="22">
        <v>107</v>
      </c>
      <c r="C54" s="9">
        <v>110</v>
      </c>
      <c r="D54" s="25">
        <v>110</v>
      </c>
      <c r="E54" s="18"/>
      <c r="F54" s="18"/>
      <c r="G54" s="15">
        <f>G51*D60</f>
        <v>7281.584653873542</v>
      </c>
      <c r="H54" s="4" t="s">
        <v>46</v>
      </c>
      <c r="I54" s="4"/>
      <c r="J54" t="s">
        <v>346</v>
      </c>
    </row>
    <row r="55" spans="1:9" ht="15">
      <c r="A55" s="18" t="s">
        <v>11</v>
      </c>
      <c r="B55" s="22">
        <v>150</v>
      </c>
      <c r="C55" s="68" t="s">
        <v>48</v>
      </c>
      <c r="D55" s="69" t="s">
        <v>49</v>
      </c>
      <c r="E55" s="18"/>
      <c r="F55" s="18"/>
      <c r="G55" s="16">
        <f>G51/D66</f>
        <v>304.2471110728028</v>
      </c>
      <c r="H55" s="4" t="s">
        <v>50</v>
      </c>
      <c r="I55" s="4"/>
    </row>
    <row r="56" spans="1:19" ht="15">
      <c r="A56" s="18" t="s">
        <v>12</v>
      </c>
      <c r="B56" s="23">
        <v>4.6</v>
      </c>
      <c r="C56" s="70" t="s">
        <v>47</v>
      </c>
      <c r="D56" s="69" t="s">
        <v>47</v>
      </c>
      <c r="E56" s="18"/>
      <c r="F56" s="4" t="s">
        <v>279</v>
      </c>
      <c r="G56" s="179"/>
      <c r="H56" s="4"/>
      <c r="I56" s="4"/>
      <c r="J56" s="18"/>
      <c r="K56" s="18"/>
      <c r="L56" s="18"/>
      <c r="M56" s="18"/>
      <c r="P56" s="18" t="s">
        <v>60</v>
      </c>
      <c r="Q56" s="18"/>
      <c r="R56" s="18"/>
      <c r="S56" s="18"/>
    </row>
    <row r="57" spans="1:19" ht="15">
      <c r="A57" s="18" t="s">
        <v>9</v>
      </c>
      <c r="B57" s="24">
        <v>2.87</v>
      </c>
      <c r="C57" s="71"/>
      <c r="D57" s="61"/>
      <c r="E57" s="35"/>
      <c r="F57" s="4" t="s">
        <v>280</v>
      </c>
      <c r="G57" s="4"/>
      <c r="H57" s="16">
        <f>30/I64</f>
        <v>1.2515672290013387</v>
      </c>
      <c r="I57" s="72" t="s">
        <v>283</v>
      </c>
      <c r="J57" s="18" t="s">
        <v>295</v>
      </c>
      <c r="K57" s="18"/>
      <c r="L57" s="18"/>
      <c r="M57" s="18"/>
      <c r="P57" s="18" t="s">
        <v>58</v>
      </c>
      <c r="Q57" s="18"/>
      <c r="R57" s="18"/>
      <c r="S57" s="18"/>
    </row>
    <row r="58" spans="1:19" ht="15">
      <c r="A58" s="18" t="s">
        <v>10</v>
      </c>
      <c r="B58" s="31">
        <f>((B54-B52)*B57*B55/6250)-(B54-B52)*0.0296</f>
        <v>2.946</v>
      </c>
      <c r="C58" s="31">
        <f>(C54-C52)*(15.42+0.2072*(C54+C52))/1000</f>
        <v>3.5261807999999997</v>
      </c>
      <c r="D58" s="31">
        <f>(D54-D52)*(13.39+0.168*(D54+D52))/1000</f>
        <v>2.9291620000000003</v>
      </c>
      <c r="E58" s="18"/>
      <c r="F58" s="4" t="s">
        <v>281</v>
      </c>
      <c r="G58" s="4"/>
      <c r="H58" s="180">
        <f>E51</f>
        <v>12038.18976212309</v>
      </c>
      <c r="I58" s="180" t="s">
        <v>293</v>
      </c>
      <c r="J58" s="18" t="s">
        <v>296</v>
      </c>
      <c r="K58" s="18"/>
      <c r="L58" s="18"/>
      <c r="M58" s="18"/>
      <c r="P58" s="18" t="s">
        <v>59</v>
      </c>
      <c r="Q58" s="18"/>
      <c r="R58" s="18"/>
      <c r="S58" s="18"/>
    </row>
    <row r="59" spans="1:10" ht="15">
      <c r="A59" s="18" t="s">
        <v>5</v>
      </c>
      <c r="B59" s="36">
        <f>B51*B58</f>
        <v>0</v>
      </c>
      <c r="C59" s="33">
        <f>C51*C58</f>
        <v>35261.808</v>
      </c>
      <c r="D59" s="31">
        <f>D51*D58</f>
        <v>2.9291620000000003</v>
      </c>
      <c r="E59" s="197" t="s">
        <v>204</v>
      </c>
      <c r="F59" s="13"/>
      <c r="G59" s="184"/>
      <c r="H59" s="13"/>
      <c r="I59" s="149">
        <v>50</v>
      </c>
      <c r="J59" t="s">
        <v>211</v>
      </c>
    </row>
    <row r="60" spans="1:10" ht="15">
      <c r="A60" s="18" t="s">
        <v>13</v>
      </c>
      <c r="B60" s="31">
        <f>((B54-B52)*B57*B56/1000)-(B54-B52)*0.0055</f>
        <v>0.57765</v>
      </c>
      <c r="C60" s="31"/>
      <c r="D60" s="34">
        <f>(D54-D52)*(4+0.03*(D54+D52))/1000</f>
        <v>0.65017</v>
      </c>
      <c r="E60" s="13" t="s">
        <v>205</v>
      </c>
      <c r="F60" s="13"/>
      <c r="G60" s="13"/>
      <c r="H60" s="13"/>
      <c r="I60" s="149">
        <v>50</v>
      </c>
      <c r="J60" t="s">
        <v>212</v>
      </c>
    </row>
    <row r="61" spans="1:9" ht="15">
      <c r="A61" s="18" t="s">
        <v>197</v>
      </c>
      <c r="B61" s="31"/>
      <c r="C61" s="31"/>
      <c r="D61" s="150">
        <f>(I59/100*650+652*I60/100+657*I61/100+670*I62/100+690*I63/100)/650*D60</f>
        <v>0.6511702615384616</v>
      </c>
      <c r="E61" s="197" t="s">
        <v>208</v>
      </c>
      <c r="F61" s="13"/>
      <c r="G61" s="13"/>
      <c r="H61" s="13"/>
      <c r="I61" s="149">
        <v>0</v>
      </c>
    </row>
    <row r="62" spans="1:10" ht="15">
      <c r="A62" s="18" t="s">
        <v>14</v>
      </c>
      <c r="B62" s="124">
        <f>B51*B60</f>
        <v>0</v>
      </c>
      <c r="C62" s="33"/>
      <c r="D62" s="19"/>
      <c r="E62" s="197" t="s">
        <v>206</v>
      </c>
      <c r="F62" s="13"/>
      <c r="G62" s="13"/>
      <c r="H62" s="13"/>
      <c r="I62" s="149">
        <v>0</v>
      </c>
      <c r="J62" s="82" t="s">
        <v>209</v>
      </c>
    </row>
    <row r="63" spans="1:11" ht="15">
      <c r="A63" s="18" t="s">
        <v>271</v>
      </c>
      <c r="B63" s="34">
        <f>(40-B52)/5167+(87-40)/3088+(B54-87)/2254</f>
        <v>0.025641608924339535</v>
      </c>
      <c r="C63" s="34">
        <f>(40-C52)/5167+(87-40)/3088+(C54-87)/2254</f>
        <v>0.027166111994725642</v>
      </c>
      <c r="D63" s="34">
        <f>(40-D52)/5167+(87-40)/3088+(D54-87)/2254</f>
        <v>0.027166111994725642</v>
      </c>
      <c r="E63" s="198" t="s">
        <v>207</v>
      </c>
      <c r="F63" s="13"/>
      <c r="G63" s="13"/>
      <c r="H63" s="13"/>
      <c r="I63" s="149">
        <v>0</v>
      </c>
      <c r="J63" s="148">
        <f>I59+I60+I61+I62+I63</f>
        <v>100</v>
      </c>
      <c r="K63" t="s">
        <v>210</v>
      </c>
    </row>
    <row r="64" spans="1:9" ht="15">
      <c r="A64" s="18" t="s">
        <v>287</v>
      </c>
      <c r="B64" s="30">
        <f>B60/B63</f>
        <v>22.527837535642426</v>
      </c>
      <c r="C64" s="30">
        <f>C60/C63</f>
        <v>0</v>
      </c>
      <c r="D64" s="30">
        <f>D60/D63</f>
        <v>23.933126688362027</v>
      </c>
      <c r="E64" s="56" t="s">
        <v>199</v>
      </c>
      <c r="F64" s="4"/>
      <c r="G64" s="4"/>
      <c r="H64" s="4"/>
      <c r="I64" s="57">
        <f>D61/D63</f>
        <v>23.9699468832672</v>
      </c>
    </row>
    <row r="65" spans="1:9" ht="15">
      <c r="A65" s="18" t="s">
        <v>342</v>
      </c>
      <c r="B65" s="30">
        <f>B51*B63</f>
        <v>0</v>
      </c>
      <c r="C65" s="30">
        <f>C51*C63</f>
        <v>271.6611199472564</v>
      </c>
      <c r="D65" s="18"/>
      <c r="E65" s="13" t="s">
        <v>291</v>
      </c>
      <c r="F65" s="13"/>
      <c r="G65" s="194"/>
      <c r="H65" s="13"/>
      <c r="I65" s="13">
        <f>I59/100*22.3+I60/100*22.3+I61/100*22.5+I62/100*22.5+I63/100*23.8</f>
        <v>22.3</v>
      </c>
    </row>
    <row r="66" spans="1:9" ht="15">
      <c r="A66" s="18" t="s">
        <v>17</v>
      </c>
      <c r="B66" s="30">
        <f>1/B63</f>
        <v>38.99911284626059</v>
      </c>
      <c r="C66" s="30">
        <f>1/C63</f>
        <v>36.81056752597325</v>
      </c>
      <c r="D66" s="30">
        <f>1/D63</f>
        <v>36.81056752597325</v>
      </c>
      <c r="E66" s="13" t="s">
        <v>292</v>
      </c>
      <c r="F66" s="13"/>
      <c r="G66" s="13"/>
      <c r="H66" s="13"/>
      <c r="I66" s="13"/>
    </row>
    <row r="67" spans="2:3" ht="15">
      <c r="B67" s="7"/>
      <c r="C67" s="7"/>
    </row>
    <row r="68" spans="2:3" ht="15">
      <c r="B68" s="7"/>
      <c r="C68" s="7"/>
    </row>
    <row r="69" spans="1:8" ht="15">
      <c r="A69" s="8" t="s">
        <v>222</v>
      </c>
      <c r="B69" s="3"/>
      <c r="C69" s="3"/>
      <c r="D69" s="3"/>
      <c r="E69" s="3"/>
      <c r="F69" s="8" t="s">
        <v>387</v>
      </c>
      <c r="G69" s="3"/>
      <c r="H69" s="3"/>
    </row>
    <row r="70" spans="1:8" ht="15">
      <c r="A70" s="8"/>
      <c r="B70" s="3"/>
      <c r="C70" s="3" t="s">
        <v>28</v>
      </c>
      <c r="D70" s="82" t="s">
        <v>381</v>
      </c>
      <c r="E70" s="82"/>
      <c r="F70" s="3"/>
      <c r="G70" s="3"/>
      <c r="H70" s="3"/>
    </row>
    <row r="71" spans="1:8" ht="15">
      <c r="A71" s="18" t="s">
        <v>214</v>
      </c>
      <c r="B71" s="3" t="s">
        <v>224</v>
      </c>
      <c r="C71" s="3" t="s">
        <v>85</v>
      </c>
      <c r="D71" s="82" t="s">
        <v>85</v>
      </c>
      <c r="E71" s="3" t="s">
        <v>213</v>
      </c>
      <c r="F71" s="3"/>
      <c r="G71" s="3"/>
      <c r="H71" s="3" t="s">
        <v>215</v>
      </c>
    </row>
    <row r="72" spans="1:9" ht="15">
      <c r="A72" s="13" t="s">
        <v>218</v>
      </c>
      <c r="B72" s="151">
        <v>20</v>
      </c>
      <c r="C72" s="153">
        <v>3.793</v>
      </c>
      <c r="D72" s="235">
        <v>23.9</v>
      </c>
      <c r="E72" s="13" t="s">
        <v>77</v>
      </c>
      <c r="F72" s="13"/>
      <c r="G72" s="149">
        <v>50</v>
      </c>
      <c r="H72" s="153">
        <v>1.625</v>
      </c>
      <c r="I72" s="13"/>
    </row>
    <row r="73" spans="1:9" ht="15">
      <c r="A73" s="13" t="s">
        <v>219</v>
      </c>
      <c r="B73" s="151">
        <v>0</v>
      </c>
      <c r="C73" s="153">
        <v>3.793</v>
      </c>
      <c r="D73" s="235">
        <v>23.9</v>
      </c>
      <c r="E73" s="13" t="s">
        <v>78</v>
      </c>
      <c r="F73" s="13"/>
      <c r="G73" s="149">
        <v>50</v>
      </c>
      <c r="H73" s="153">
        <v>1.625</v>
      </c>
      <c r="I73" s="13"/>
    </row>
    <row r="74" spans="1:9" ht="15">
      <c r="A74" s="13" t="s">
        <v>220</v>
      </c>
      <c r="B74" s="151">
        <v>0</v>
      </c>
      <c r="C74" s="153">
        <v>3.827</v>
      </c>
      <c r="D74" s="235">
        <v>23.9</v>
      </c>
      <c r="E74" s="13" t="s">
        <v>221</v>
      </c>
      <c r="F74" s="13"/>
      <c r="G74" s="149">
        <v>0</v>
      </c>
      <c r="H74" s="153">
        <v>1.82</v>
      </c>
      <c r="I74" s="13"/>
    </row>
    <row r="75" spans="1:9" ht="15">
      <c r="A75" s="13" t="s">
        <v>106</v>
      </c>
      <c r="B75" s="151">
        <v>0</v>
      </c>
      <c r="C75" s="153">
        <v>3.954</v>
      </c>
      <c r="D75" s="232">
        <v>24.5</v>
      </c>
      <c r="E75" s="13" t="s">
        <v>225</v>
      </c>
      <c r="F75" s="13"/>
      <c r="G75" s="10">
        <f>SUM(G72:G74)</f>
        <v>100</v>
      </c>
      <c r="H75" s="154">
        <f>(G72*H72+G73*H73+G74*H74)/100</f>
        <v>1.625</v>
      </c>
      <c r="I75" s="13" t="s">
        <v>223</v>
      </c>
    </row>
    <row r="76" spans="1:8" ht="15">
      <c r="A76" s="13" t="s">
        <v>107</v>
      </c>
      <c r="B76" s="151">
        <v>0</v>
      </c>
      <c r="C76" s="153">
        <v>3.954</v>
      </c>
      <c r="D76" s="232">
        <v>24.5</v>
      </c>
      <c r="E76" s="3"/>
      <c r="F76" s="3"/>
      <c r="G76" s="10" t="s">
        <v>210</v>
      </c>
      <c r="H76" s="3"/>
    </row>
    <row r="77" spans="1:8" ht="15">
      <c r="A77" s="13" t="s">
        <v>108</v>
      </c>
      <c r="B77" s="151">
        <v>0</v>
      </c>
      <c r="C77" s="153">
        <v>4.209</v>
      </c>
      <c r="D77" s="235">
        <v>25.6</v>
      </c>
      <c r="E77" s="3"/>
      <c r="F77" s="3"/>
      <c r="G77" s="3"/>
      <c r="H77" s="3"/>
    </row>
    <row r="78" spans="1:8" ht="15">
      <c r="A78" s="13" t="s">
        <v>109</v>
      </c>
      <c r="B78" s="151">
        <v>80</v>
      </c>
      <c r="C78" s="153">
        <v>3.816</v>
      </c>
      <c r="D78" s="235">
        <v>23.9</v>
      </c>
      <c r="E78" s="3" t="s">
        <v>216</v>
      </c>
      <c r="F78" s="3"/>
      <c r="G78" s="3"/>
      <c r="H78" s="3"/>
    </row>
    <row r="79" spans="1:6" ht="15">
      <c r="A79" s="13" t="s">
        <v>226</v>
      </c>
      <c r="B79" s="152">
        <f>SUM(B72:B78)</f>
        <v>100</v>
      </c>
      <c r="C79" s="154">
        <f>(B72*C72+B73*C73+B74*C74+B75*C75+B76*C76+B77*C77+B78*C78)/100</f>
        <v>3.8114</v>
      </c>
      <c r="D79" s="234">
        <f>(B72*D72+B73*D73+B74*D74+B75*D75+B76*D76+B77*D77+B78*D78)/100</f>
        <v>23.9</v>
      </c>
      <c r="E79" s="236">
        <f>C79+H75</f>
        <v>5.4364</v>
      </c>
      <c r="F79" s="155" t="s">
        <v>217</v>
      </c>
    </row>
    <row r="80" spans="2:4" ht="15">
      <c r="B80" s="10" t="s">
        <v>210</v>
      </c>
      <c r="D80" s="233" t="s">
        <v>382</v>
      </c>
    </row>
    <row r="81" spans="2:4" ht="15">
      <c r="B81" s="3"/>
      <c r="D81" s="233" t="s">
        <v>383</v>
      </c>
    </row>
    <row r="84" ht="15">
      <c r="G84" t="s">
        <v>56</v>
      </c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25">
      <selection activeCell="U49" sqref="U49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  <col min="9" max="9" width="11.00390625" style="0" customWidth="1"/>
  </cols>
  <sheetData>
    <row r="1" ht="21">
      <c r="A1" s="59" t="s">
        <v>270</v>
      </c>
    </row>
    <row r="2" spans="1:9" ht="15.75">
      <c r="A2" s="75" t="s">
        <v>395</v>
      </c>
      <c r="H2" s="3"/>
      <c r="I2" s="3"/>
    </row>
    <row r="3" spans="1:9" ht="15">
      <c r="A3" s="2" t="s">
        <v>40</v>
      </c>
      <c r="B3" s="2"/>
      <c r="C3" s="2"/>
      <c r="D3" s="2"/>
      <c r="E3" s="141" t="s">
        <v>375</v>
      </c>
      <c r="F3" s="141"/>
      <c r="G3" s="141"/>
      <c r="H3" s="141"/>
      <c r="I3" s="141"/>
    </row>
    <row r="4" spans="1:10" ht="15">
      <c r="A4" s="20" t="s">
        <v>376</v>
      </c>
      <c r="B4" s="20"/>
      <c r="C4" s="20"/>
      <c r="D4" s="20"/>
      <c r="E4" s="20"/>
      <c r="F4" s="20"/>
      <c r="G4" s="20"/>
      <c r="H4" s="20"/>
      <c r="I4" s="20"/>
      <c r="J4" s="77" t="s">
        <v>147</v>
      </c>
    </row>
    <row r="5" spans="1:16" ht="15">
      <c r="A5" s="20" t="s">
        <v>61</v>
      </c>
      <c r="B5" s="20"/>
      <c r="C5" s="20"/>
      <c r="D5" s="20"/>
      <c r="E5" s="20"/>
      <c r="F5" s="20"/>
      <c r="G5" s="20"/>
      <c r="H5" s="20"/>
      <c r="I5" s="20"/>
      <c r="J5" t="s">
        <v>380</v>
      </c>
      <c r="P5" s="87"/>
    </row>
    <row r="6" spans="1:10" ht="15">
      <c r="A6" s="3" t="s">
        <v>286</v>
      </c>
      <c r="B6" s="3"/>
      <c r="C6" s="3"/>
      <c r="D6" s="3"/>
      <c r="E6" s="3"/>
      <c r="F6" s="3"/>
      <c r="G6" s="3"/>
      <c r="H6" s="3"/>
      <c r="I6" s="3"/>
      <c r="J6" t="s">
        <v>152</v>
      </c>
    </row>
    <row r="7" spans="1:10" ht="15">
      <c r="A7" s="12" t="s">
        <v>386</v>
      </c>
      <c r="B7" s="13"/>
      <c r="C7" s="13"/>
      <c r="D7" s="13"/>
      <c r="E7" s="13"/>
      <c r="F7" s="13"/>
      <c r="G7" s="13"/>
      <c r="H7" s="13"/>
      <c r="I7" s="13"/>
      <c r="J7" s="87"/>
    </row>
    <row r="8" spans="1:16" ht="15">
      <c r="A8" s="17" t="s">
        <v>25</v>
      </c>
      <c r="B8" s="18"/>
      <c r="C8" s="18"/>
      <c r="D8" s="27" t="s">
        <v>28</v>
      </c>
      <c r="E8" s="27" t="s">
        <v>55</v>
      </c>
      <c r="F8" s="27" t="s">
        <v>51</v>
      </c>
      <c r="G8" s="12" t="s">
        <v>53</v>
      </c>
      <c r="H8" s="13"/>
      <c r="I8" s="13"/>
      <c r="J8" t="s">
        <v>148</v>
      </c>
      <c r="P8" s="87"/>
    </row>
    <row r="9" spans="1:16" ht="15">
      <c r="A9" s="18"/>
      <c r="B9" s="27" t="s">
        <v>0</v>
      </c>
      <c r="C9" s="18" t="s">
        <v>396</v>
      </c>
      <c r="D9" s="27" t="s">
        <v>377</v>
      </c>
      <c r="E9" s="27" t="s">
        <v>33</v>
      </c>
      <c r="F9" s="27" t="s">
        <v>36</v>
      </c>
      <c r="G9" s="12" t="s">
        <v>37</v>
      </c>
      <c r="H9" s="13"/>
      <c r="I9" s="13"/>
      <c r="J9" t="s">
        <v>149</v>
      </c>
      <c r="P9" s="87"/>
    </row>
    <row r="10" spans="1:16" ht="15">
      <c r="A10" s="17"/>
      <c r="B10" s="26" t="s">
        <v>29</v>
      </c>
      <c r="C10" s="26" t="s">
        <v>302</v>
      </c>
      <c r="D10" s="27" t="s">
        <v>32</v>
      </c>
      <c r="E10" s="27" t="s">
        <v>34</v>
      </c>
      <c r="F10" s="27" t="s">
        <v>31</v>
      </c>
      <c r="G10" s="12" t="s">
        <v>278</v>
      </c>
      <c r="H10" s="13"/>
      <c r="I10" s="13"/>
      <c r="J10" t="s">
        <v>294</v>
      </c>
      <c r="P10" s="87"/>
    </row>
    <row r="11" spans="1:9" ht="15">
      <c r="A11" s="18" t="s">
        <v>39</v>
      </c>
      <c r="B11" s="21">
        <v>0</v>
      </c>
      <c r="C11" s="5">
        <v>1000</v>
      </c>
      <c r="D11" s="61">
        <v>1</v>
      </c>
      <c r="E11" s="30">
        <f>IF(B11&gt;0,IF(B17&lt;C17,B18/D17,C18/D17),C18/D17)</f>
        <v>1046.6664570681846</v>
      </c>
      <c r="F11" s="30">
        <f>E11/D25*I24</f>
        <v>5670.77779949102</v>
      </c>
      <c r="G11" s="182">
        <f>IF(F11/D20&lt;E11,F11/D20,E11)</f>
        <v>1042.4223896123199</v>
      </c>
      <c r="H11" s="13" t="s">
        <v>131</v>
      </c>
      <c r="I11" s="13"/>
    </row>
    <row r="12" spans="1:10" ht="15">
      <c r="A12" s="18" t="s">
        <v>20</v>
      </c>
      <c r="B12" s="21">
        <v>26</v>
      </c>
      <c r="C12" s="61">
        <v>27.2</v>
      </c>
      <c r="D12" s="58">
        <v>30</v>
      </c>
      <c r="E12" s="18"/>
      <c r="F12" s="27"/>
      <c r="G12" s="182">
        <f>G11*D17</f>
        <v>25861.811487504514</v>
      </c>
      <c r="H12" s="13" t="s">
        <v>44</v>
      </c>
      <c r="I12" s="13"/>
      <c r="J12" t="s">
        <v>150</v>
      </c>
    </row>
    <row r="13" spans="1:10" ht="15">
      <c r="A13" s="18" t="s">
        <v>1</v>
      </c>
      <c r="B13" s="21">
        <v>7.3</v>
      </c>
      <c r="C13" s="61">
        <v>7.4</v>
      </c>
      <c r="D13" s="61">
        <v>7.1</v>
      </c>
      <c r="E13" s="18"/>
      <c r="F13" s="27"/>
      <c r="G13" s="182">
        <f>G11*D20</f>
        <v>5670.77779949102</v>
      </c>
      <c r="H13" s="13" t="s">
        <v>45</v>
      </c>
      <c r="I13" s="13"/>
      <c r="J13" t="s">
        <v>151</v>
      </c>
    </row>
    <row r="14" spans="1:19" ht="15">
      <c r="A14" s="18" t="s">
        <v>2</v>
      </c>
      <c r="B14" s="22">
        <v>132</v>
      </c>
      <c r="C14" s="58">
        <v>138</v>
      </c>
      <c r="D14" s="61">
        <v>133.1</v>
      </c>
      <c r="E14" s="18"/>
      <c r="F14" s="27"/>
      <c r="G14" s="182">
        <f>G11*D19</f>
        <v>5649.929351698774</v>
      </c>
      <c r="H14" s="13" t="s">
        <v>46</v>
      </c>
      <c r="I14" s="13"/>
      <c r="P14" s="18" t="s">
        <v>60</v>
      </c>
      <c r="Q14" s="19"/>
      <c r="R14" s="18"/>
      <c r="S14" s="18"/>
    </row>
    <row r="15" spans="1:19" ht="15">
      <c r="A15" s="18" t="s">
        <v>3</v>
      </c>
      <c r="B15" s="23">
        <v>4.6</v>
      </c>
      <c r="C15" s="62">
        <v>4.6</v>
      </c>
      <c r="D15" s="61">
        <v>4.8</v>
      </c>
      <c r="E15" s="18"/>
      <c r="F15" s="18"/>
      <c r="G15" s="14">
        <f>G11/D25</f>
        <v>236.3089409884395</v>
      </c>
      <c r="H15" s="13" t="s">
        <v>50</v>
      </c>
      <c r="I15" s="13"/>
      <c r="J15" t="s">
        <v>153</v>
      </c>
      <c r="P15" s="18" t="s">
        <v>58</v>
      </c>
      <c r="Q15" s="18"/>
      <c r="R15" s="18"/>
      <c r="S15" s="18"/>
    </row>
    <row r="16" spans="1:19" ht="15">
      <c r="A16" s="18" t="s">
        <v>4</v>
      </c>
      <c r="B16" s="21">
        <v>1500</v>
      </c>
      <c r="C16" s="61">
        <v>1500</v>
      </c>
      <c r="D16" s="61">
        <v>1515</v>
      </c>
      <c r="E16" s="18"/>
      <c r="F16" s="13" t="s">
        <v>279</v>
      </c>
      <c r="G16" s="184"/>
      <c r="H16" s="13"/>
      <c r="I16" s="13"/>
      <c r="J16" t="s">
        <v>154</v>
      </c>
      <c r="P16" s="18" t="s">
        <v>59</v>
      </c>
      <c r="Q16" s="18"/>
      <c r="R16" s="18"/>
      <c r="S16" s="18"/>
    </row>
    <row r="17" spans="1:9" ht="15">
      <c r="A17" s="18" t="s">
        <v>21</v>
      </c>
      <c r="B17" s="30">
        <f>(B$16*B$14)/6250-1.98-(B$12*B$13*0.0257)</f>
        <v>24.822139999999997</v>
      </c>
      <c r="C17" s="30">
        <f>(C$16*C$14)/6250-1.98-(C$12*C$13*0.0257)</f>
        <v>25.967104</v>
      </c>
      <c r="D17" s="30">
        <f>(D$16*D$14)/6250-1.98-(D$12*D$13*0.0257)</f>
        <v>24.809340000000002</v>
      </c>
      <c r="E17" s="18"/>
      <c r="F17" s="13" t="s">
        <v>280</v>
      </c>
      <c r="G17" s="13"/>
      <c r="H17" s="14">
        <f>30/D23</f>
        <v>1.2547534293542346</v>
      </c>
      <c r="I17" s="185" t="s">
        <v>283</v>
      </c>
    </row>
    <row r="18" spans="1:10" ht="15">
      <c r="A18" s="18" t="s">
        <v>5</v>
      </c>
      <c r="B18" s="36">
        <f>B11*B17</f>
        <v>0</v>
      </c>
      <c r="C18" s="32">
        <f>C11*C17</f>
        <v>25967.104</v>
      </c>
      <c r="D18" s="32">
        <v>24.8</v>
      </c>
      <c r="E18" s="19"/>
      <c r="F18" s="13" t="s">
        <v>281</v>
      </c>
      <c r="G18" s="13"/>
      <c r="H18" s="182">
        <f>E11</f>
        <v>1046.6664570681846</v>
      </c>
      <c r="I18" s="182" t="s">
        <v>282</v>
      </c>
      <c r="J18" t="s">
        <v>196</v>
      </c>
    </row>
    <row r="19" spans="1:10" ht="15">
      <c r="A19" s="18" t="s">
        <v>19</v>
      </c>
      <c r="B19" s="30">
        <f>(B$16*B$15)/1000-0.58-(B$12*B$13*0.006)</f>
        <v>5.1812</v>
      </c>
      <c r="C19" s="30">
        <f>(C$16*C$15)/1000-0.58-(C$12*C$13*0.006)</f>
        <v>5.1123199999999995</v>
      </c>
      <c r="D19" s="30">
        <v>5.42</v>
      </c>
      <c r="E19" s="18"/>
      <c r="F19" s="18"/>
      <c r="G19" s="18"/>
      <c r="H19" s="18"/>
      <c r="I19" s="18"/>
      <c r="J19" t="s">
        <v>157</v>
      </c>
    </row>
    <row r="20" spans="1:10" ht="15">
      <c r="A20" s="18" t="s">
        <v>41</v>
      </c>
      <c r="B20" s="30"/>
      <c r="C20" s="30"/>
      <c r="D20" s="6">
        <v>5.44</v>
      </c>
      <c r="E20" s="230" t="s">
        <v>57</v>
      </c>
      <c r="F20" s="181"/>
      <c r="G20" s="181"/>
      <c r="H20" s="181"/>
      <c r="I20" s="18"/>
      <c r="J20" t="s">
        <v>155</v>
      </c>
    </row>
    <row r="21" spans="1:10" ht="15">
      <c r="A21" s="18" t="s">
        <v>15</v>
      </c>
      <c r="B21" s="36">
        <f>B11*B19</f>
        <v>0</v>
      </c>
      <c r="C21" s="33">
        <f>C11*C19</f>
        <v>5112.32</v>
      </c>
      <c r="D21" s="30">
        <f>D11*D19</f>
        <v>5.42</v>
      </c>
      <c r="E21" s="230" t="s">
        <v>384</v>
      </c>
      <c r="F21" s="181"/>
      <c r="G21" s="181"/>
      <c r="H21" s="181"/>
      <c r="I21" s="18"/>
      <c r="J21" t="s">
        <v>156</v>
      </c>
    </row>
    <row r="22" spans="1:10" ht="15">
      <c r="A22" s="18" t="s">
        <v>271</v>
      </c>
      <c r="B22" s="34">
        <f>1/4.4+B12*(B13-7.2)/5167</f>
        <v>0.22777592061509228</v>
      </c>
      <c r="C22" s="34">
        <f>1/4.4+C12*(C13-7.2)/5167</f>
        <v>0.2283255625736756</v>
      </c>
      <c r="D22" s="34">
        <f>1/4.4+D12*(D13-7.2)/5167</f>
        <v>0.2266921195699984</v>
      </c>
      <c r="E22" s="18" t="s">
        <v>284</v>
      </c>
      <c r="F22" s="18"/>
      <c r="G22" s="18"/>
      <c r="H22" s="18"/>
      <c r="I22" s="18"/>
      <c r="J22" t="s">
        <v>275</v>
      </c>
    </row>
    <row r="23" spans="1:10" ht="15">
      <c r="A23" s="18" t="s">
        <v>272</v>
      </c>
      <c r="B23" s="30">
        <f>B19/B22</f>
        <v>22.746917171966846</v>
      </c>
      <c r="C23" s="30">
        <f>C19/C22</f>
        <v>22.390484632443936</v>
      </c>
      <c r="D23" s="30">
        <f>D19/D22</f>
        <v>23.90907990220808</v>
      </c>
      <c r="E23" s="56" t="s">
        <v>54</v>
      </c>
      <c r="F23" s="4"/>
      <c r="G23" s="4"/>
      <c r="H23" s="4"/>
      <c r="I23" s="57">
        <f>D20/D22</f>
        <v>23.9973052893011</v>
      </c>
      <c r="J23" t="s">
        <v>276</v>
      </c>
    </row>
    <row r="24" spans="1:10" ht="15">
      <c r="A24" s="18" t="s">
        <v>23</v>
      </c>
      <c r="B24" s="31">
        <f>B11*B22</f>
        <v>0</v>
      </c>
      <c r="C24" s="30">
        <f>C11*C22</f>
        <v>228.3255625736756</v>
      </c>
      <c r="D24" s="31">
        <f>D11*D22</f>
        <v>0.2266921195699984</v>
      </c>
      <c r="E24" s="4" t="s">
        <v>385</v>
      </c>
      <c r="F24" s="4"/>
      <c r="G24" s="57"/>
      <c r="H24" s="4"/>
      <c r="I24" s="149">
        <v>23.9</v>
      </c>
      <c r="J24" t="s">
        <v>277</v>
      </c>
    </row>
    <row r="25" spans="1:10" ht="15">
      <c r="A25" s="18" t="s">
        <v>22</v>
      </c>
      <c r="B25" s="31">
        <f>1/B22</f>
        <v>4.390279698133028</v>
      </c>
      <c r="C25" s="31">
        <f>1/C22</f>
        <v>4.379711096418835</v>
      </c>
      <c r="D25" s="31">
        <f>1/D22</f>
        <v>4.411269354650937</v>
      </c>
      <c r="E25" s="4" t="s">
        <v>285</v>
      </c>
      <c r="F25" s="4"/>
      <c r="G25" s="4"/>
      <c r="H25" s="4"/>
      <c r="I25" s="4"/>
      <c r="J25" s="77" t="s">
        <v>185</v>
      </c>
    </row>
    <row r="26" spans="1:16" ht="15">
      <c r="A26" s="126" t="s">
        <v>378</v>
      </c>
      <c r="B26" s="187"/>
      <c r="C26" s="187"/>
      <c r="D26" s="187"/>
      <c r="E26" s="51"/>
      <c r="F26" s="51"/>
      <c r="G26" s="51"/>
      <c r="H26" s="51"/>
      <c r="I26" s="51"/>
      <c r="J26" t="s">
        <v>186</v>
      </c>
      <c r="P26" s="87"/>
    </row>
    <row r="27" spans="1:10" ht="15">
      <c r="A27" s="37" t="s">
        <v>24</v>
      </c>
      <c r="B27" s="38"/>
      <c r="C27" s="38"/>
      <c r="D27" s="41" t="s">
        <v>28</v>
      </c>
      <c r="E27" s="41" t="s">
        <v>30</v>
      </c>
      <c r="F27" s="41" t="s">
        <v>35</v>
      </c>
      <c r="G27" s="74" t="s">
        <v>52</v>
      </c>
      <c r="H27" s="51"/>
      <c r="I27" s="51"/>
      <c r="J27" t="s">
        <v>187</v>
      </c>
    </row>
    <row r="28" spans="1:10" ht="15">
      <c r="A28" s="11"/>
      <c r="B28" s="48" t="s">
        <v>0</v>
      </c>
      <c r="C28" s="38" t="s">
        <v>396</v>
      </c>
      <c r="D28" s="41" t="s">
        <v>377</v>
      </c>
      <c r="E28" s="41" t="s">
        <v>33</v>
      </c>
      <c r="F28" s="41" t="s">
        <v>36</v>
      </c>
      <c r="G28" s="74" t="s">
        <v>37</v>
      </c>
      <c r="H28" s="51"/>
      <c r="I28" s="51"/>
      <c r="J28" t="s">
        <v>188</v>
      </c>
    </row>
    <row r="29" spans="1:10" ht="15">
      <c r="A29" s="39"/>
      <c r="B29" s="40" t="s">
        <v>29</v>
      </c>
      <c r="C29" s="40" t="s">
        <v>29</v>
      </c>
      <c r="D29" s="41" t="s">
        <v>32</v>
      </c>
      <c r="E29" s="41" t="s">
        <v>34</v>
      </c>
      <c r="F29" s="41" t="s">
        <v>31</v>
      </c>
      <c r="G29" s="74" t="s">
        <v>38</v>
      </c>
      <c r="H29" s="51"/>
      <c r="I29" s="51"/>
      <c r="J29" t="s">
        <v>189</v>
      </c>
    </row>
    <row r="30" spans="1:10" ht="15">
      <c r="A30" s="11" t="s">
        <v>6</v>
      </c>
      <c r="B30" s="21">
        <v>0</v>
      </c>
      <c r="C30" s="5">
        <v>10000</v>
      </c>
      <c r="D30" s="41">
        <v>1</v>
      </c>
      <c r="E30" s="48">
        <f>IF(B30&gt;0,IF(B36&lt;C36,B37/D36,C37/D36),C37/D36)</f>
        <v>10298.102872678568</v>
      </c>
      <c r="F30" s="48">
        <f>E30/D44*I43</f>
        <v>1431.649555932353</v>
      </c>
      <c r="G30" s="183">
        <f>IF(F30/D39&lt;E30,F30/D39,E30)</f>
        <v>10298.102872678568</v>
      </c>
      <c r="H30" s="51" t="s">
        <v>43</v>
      </c>
      <c r="I30" s="51"/>
      <c r="J30" t="s">
        <v>190</v>
      </c>
    </row>
    <row r="31" spans="1:10" ht="15">
      <c r="A31" s="11" t="s">
        <v>7</v>
      </c>
      <c r="B31" s="22">
        <v>7.4</v>
      </c>
      <c r="C31" s="9">
        <v>7.4</v>
      </c>
      <c r="D31" s="60">
        <v>7.4</v>
      </c>
      <c r="E31" s="11"/>
      <c r="F31" s="11"/>
      <c r="G31" s="54">
        <f>G30*D36</f>
        <v>5068.9972800000005</v>
      </c>
      <c r="H31" s="51" t="s">
        <v>44</v>
      </c>
      <c r="I31" s="51"/>
      <c r="J31" t="s">
        <v>194</v>
      </c>
    </row>
    <row r="32" spans="1:10" ht="15">
      <c r="A32" s="11" t="s">
        <v>8</v>
      </c>
      <c r="B32" s="22">
        <v>32</v>
      </c>
      <c r="C32" s="9">
        <v>32</v>
      </c>
      <c r="D32" s="25">
        <v>32</v>
      </c>
      <c r="E32" s="11"/>
      <c r="F32" s="11"/>
      <c r="G32" s="54">
        <f>G30*D39</f>
        <v>1312.7733195210205</v>
      </c>
      <c r="H32" s="51" t="s">
        <v>45</v>
      </c>
      <c r="I32" s="51"/>
      <c r="J32" t="s">
        <v>195</v>
      </c>
    </row>
    <row r="33" spans="1:10" ht="15">
      <c r="A33" s="11" t="s">
        <v>11</v>
      </c>
      <c r="B33" s="22">
        <v>165</v>
      </c>
      <c r="C33" s="63" t="s">
        <v>48</v>
      </c>
      <c r="D33" s="64" t="s">
        <v>49</v>
      </c>
      <c r="E33" s="11"/>
      <c r="F33" s="11"/>
      <c r="G33" s="54">
        <f>G30*D38</f>
        <v>1312.7733195210205</v>
      </c>
      <c r="H33" s="51" t="s">
        <v>46</v>
      </c>
      <c r="I33" s="51"/>
      <c r="J33" t="s">
        <v>191</v>
      </c>
    </row>
    <row r="34" spans="1:10" ht="15">
      <c r="A34" s="11" t="s">
        <v>12</v>
      </c>
      <c r="B34" s="23">
        <v>5</v>
      </c>
      <c r="C34" s="65" t="s">
        <v>47</v>
      </c>
      <c r="D34" s="64" t="s">
        <v>47</v>
      </c>
      <c r="E34" s="11"/>
      <c r="F34" s="11"/>
      <c r="G34" s="53">
        <f>G30/D44</f>
        <v>49.02909438124497</v>
      </c>
      <c r="H34" s="51" t="s">
        <v>50</v>
      </c>
      <c r="I34" s="51"/>
      <c r="J34" t="s">
        <v>192</v>
      </c>
    </row>
    <row r="35" spans="1:10" ht="15">
      <c r="A35" s="11" t="s">
        <v>9</v>
      </c>
      <c r="B35" s="24">
        <v>1.9</v>
      </c>
      <c r="C35" s="66"/>
      <c r="D35" s="67"/>
      <c r="E35" s="42"/>
      <c r="F35" s="11" t="s">
        <v>60</v>
      </c>
      <c r="G35" s="11"/>
      <c r="H35" s="11"/>
      <c r="I35" s="11"/>
      <c r="J35" t="s">
        <v>193</v>
      </c>
    </row>
    <row r="36" spans="1:10" ht="15">
      <c r="A36" s="11" t="s">
        <v>42</v>
      </c>
      <c r="B36" s="43">
        <f>((B32-B31)*B35*B33/6250)-(B32-B31)*0.0304</f>
        <v>0.4860960000000001</v>
      </c>
      <c r="C36" s="226">
        <f>(C32-C31)*(13.23+0.1872*(C32+C31))/1000</f>
        <v>0.506899728</v>
      </c>
      <c r="D36" s="43">
        <f>(D32-D31)*(13.39+0.168*(D32+D31))/1000</f>
        <v>0.49222632000000005</v>
      </c>
      <c r="E36" s="11"/>
      <c r="F36" s="11" t="s">
        <v>58</v>
      </c>
      <c r="G36" s="11"/>
      <c r="H36" s="11"/>
      <c r="I36" s="11"/>
      <c r="J36" t="s">
        <v>343</v>
      </c>
    </row>
    <row r="37" spans="1:19" ht="15">
      <c r="A37" s="11" t="s">
        <v>5</v>
      </c>
      <c r="B37" s="44">
        <f>B30*B36</f>
        <v>0</v>
      </c>
      <c r="C37" s="44">
        <f>C30*C36</f>
        <v>5068.9972800000005</v>
      </c>
      <c r="D37" s="43">
        <f>D30*D36</f>
        <v>0.49222632000000005</v>
      </c>
      <c r="E37" s="46"/>
      <c r="F37" s="11" t="s">
        <v>59</v>
      </c>
      <c r="G37" s="11"/>
      <c r="H37" s="11"/>
      <c r="I37" s="11"/>
      <c r="J37" t="s">
        <v>344</v>
      </c>
      <c r="P37" s="18" t="s">
        <v>60</v>
      </c>
      <c r="Q37" s="18"/>
      <c r="R37" s="18"/>
      <c r="S37" s="18"/>
    </row>
    <row r="38" spans="1:19" ht="15">
      <c r="A38" s="11" t="s">
        <v>13</v>
      </c>
      <c r="B38" s="43">
        <f>((B32-B31)*B35*B34/1000)-(B32-B31)*0.0049</f>
        <v>0.11316000000000001</v>
      </c>
      <c r="C38" s="43"/>
      <c r="D38" s="226">
        <f>(D32-D31)*(4+0.03*(D32+D31))/1000</f>
        <v>0.1274772</v>
      </c>
      <c r="E38" s="55" t="s">
        <v>204</v>
      </c>
      <c r="F38" s="51"/>
      <c r="G38" s="196"/>
      <c r="H38" s="51"/>
      <c r="I38" s="149">
        <v>50</v>
      </c>
      <c r="P38" s="18" t="s">
        <v>58</v>
      </c>
      <c r="Q38" s="18"/>
      <c r="R38" s="18"/>
      <c r="S38" s="18"/>
    </row>
    <row r="39" spans="1:19" ht="15">
      <c r="A39" s="11" t="s">
        <v>197</v>
      </c>
      <c r="B39" s="43"/>
      <c r="C39" s="43"/>
      <c r="D39" s="231">
        <f>(123*I38/100+123*I39/100+124*I40/100+130*I41/100)/123*D38</f>
        <v>0.1274772</v>
      </c>
      <c r="E39" s="51" t="s">
        <v>205</v>
      </c>
      <c r="F39" s="51"/>
      <c r="G39" s="51"/>
      <c r="H39" s="51"/>
      <c r="I39" s="149">
        <v>50</v>
      </c>
      <c r="P39" s="18" t="s">
        <v>59</v>
      </c>
      <c r="Q39" s="18"/>
      <c r="R39" s="18"/>
      <c r="S39" s="18"/>
    </row>
    <row r="40" spans="1:10" ht="15">
      <c r="A40" s="11" t="s">
        <v>14</v>
      </c>
      <c r="B40" s="125">
        <f>B30*B38</f>
        <v>0</v>
      </c>
      <c r="C40" s="45"/>
      <c r="D40" s="46"/>
      <c r="E40" s="55" t="s">
        <v>208</v>
      </c>
      <c r="F40" s="51"/>
      <c r="G40" s="51"/>
      <c r="H40" s="51"/>
      <c r="I40" s="149">
        <v>0</v>
      </c>
      <c r="J40" s="82" t="s">
        <v>209</v>
      </c>
    </row>
    <row r="41" spans="1:11" ht="15">
      <c r="A41" s="11" t="s">
        <v>271</v>
      </c>
      <c r="B41" s="47">
        <f>(B32-B31)/5167</f>
        <v>0.004760983162376621</v>
      </c>
      <c r="C41" s="47">
        <f>(C32-C31)/5167</f>
        <v>0.004760983162376621</v>
      </c>
      <c r="D41" s="47">
        <f>(D32-D31)/5167</f>
        <v>0.004760983162376621</v>
      </c>
      <c r="E41" s="55" t="s">
        <v>207</v>
      </c>
      <c r="F41" s="51"/>
      <c r="G41" s="51"/>
      <c r="H41" s="51"/>
      <c r="I41" s="149">
        <v>0</v>
      </c>
      <c r="J41" s="148">
        <f>I38+I39+I40+I41</f>
        <v>100</v>
      </c>
      <c r="K41" t="s">
        <v>210</v>
      </c>
    </row>
    <row r="42" spans="1:9" ht="15">
      <c r="A42" s="11" t="s">
        <v>287</v>
      </c>
      <c r="B42" s="48">
        <f>B38/B41</f>
        <v>23.768200000000004</v>
      </c>
      <c r="C42" s="48">
        <f>C38/C41</f>
        <v>0</v>
      </c>
      <c r="D42" s="48">
        <f>D38/D41</f>
        <v>26.775394000000002</v>
      </c>
      <c r="E42" s="195" t="s">
        <v>227</v>
      </c>
      <c r="F42" s="11"/>
      <c r="G42" s="11"/>
      <c r="H42" s="11"/>
      <c r="I42" s="92">
        <f>D39/D41</f>
        <v>26.775394000000002</v>
      </c>
    </row>
    <row r="43" spans="1:9" ht="15">
      <c r="A43" s="11" t="s">
        <v>288</v>
      </c>
      <c r="B43" s="48">
        <f>B30*B41</f>
        <v>0</v>
      </c>
      <c r="C43" s="48">
        <f>C30*C41</f>
        <v>47.609831623766205</v>
      </c>
      <c r="D43" s="11"/>
      <c r="E43" s="51" t="s">
        <v>291</v>
      </c>
      <c r="F43" s="51"/>
      <c r="G43" s="50"/>
      <c r="H43" s="51"/>
      <c r="I43" s="51">
        <f>I38/100*29.2+I39/100*29.2+I40/100*29.4+I41/100*30.6</f>
        <v>29.2</v>
      </c>
    </row>
    <row r="44" spans="1:9" ht="15">
      <c r="A44" s="11" t="s">
        <v>198</v>
      </c>
      <c r="B44" s="49">
        <f>1/B41</f>
        <v>210.04065040650408</v>
      </c>
      <c r="C44" s="49">
        <f>1/C41</f>
        <v>210.04065040650408</v>
      </c>
      <c r="D44" s="49">
        <f>1/D41</f>
        <v>210.04065040650408</v>
      </c>
      <c r="E44" s="51" t="s">
        <v>289</v>
      </c>
      <c r="F44" s="51"/>
      <c r="G44" s="51"/>
      <c r="H44" s="51"/>
      <c r="I44" s="51"/>
    </row>
    <row r="45" spans="1:9" ht="15">
      <c r="A45" s="127" t="s">
        <v>379</v>
      </c>
      <c r="B45" s="96"/>
      <c r="C45" s="96"/>
      <c r="D45" s="4"/>
      <c r="E45" s="4"/>
      <c r="F45" s="4"/>
      <c r="G45" s="4"/>
      <c r="H45" s="4"/>
      <c r="I45" s="4"/>
    </row>
    <row r="46" spans="1:10" ht="15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77" t="s">
        <v>200</v>
      </c>
    </row>
    <row r="47" spans="1:16" ht="15">
      <c r="A47" s="18" t="s">
        <v>303</v>
      </c>
      <c r="B47" s="18"/>
      <c r="C47" s="18"/>
      <c r="D47" s="18"/>
      <c r="E47" s="18"/>
      <c r="F47" s="18"/>
      <c r="G47" s="18"/>
      <c r="H47" s="18"/>
      <c r="I47" s="18"/>
      <c r="J47" t="s">
        <v>297</v>
      </c>
      <c r="P47" s="87" t="s">
        <v>273</v>
      </c>
    </row>
    <row r="48" spans="1:16" ht="15">
      <c r="A48" s="18"/>
      <c r="B48" s="28"/>
      <c r="C48" s="28"/>
      <c r="D48" s="27" t="s">
        <v>28</v>
      </c>
      <c r="E48" s="27" t="s">
        <v>30</v>
      </c>
      <c r="F48" s="27" t="s">
        <v>35</v>
      </c>
      <c r="G48" s="73" t="s">
        <v>52</v>
      </c>
      <c r="H48" s="4"/>
      <c r="I48" s="4"/>
      <c r="J48" t="s">
        <v>298</v>
      </c>
      <c r="P48" s="87" t="s">
        <v>274</v>
      </c>
    </row>
    <row r="49" spans="1:10" ht="15">
      <c r="A49" s="18"/>
      <c r="B49" s="30" t="s">
        <v>0</v>
      </c>
      <c r="C49" s="28" t="s">
        <v>341</v>
      </c>
      <c r="D49" s="27" t="s">
        <v>377</v>
      </c>
      <c r="E49" s="27" t="s">
        <v>33</v>
      </c>
      <c r="F49" s="27" t="s">
        <v>36</v>
      </c>
      <c r="G49" s="73" t="s">
        <v>37</v>
      </c>
      <c r="H49" s="4"/>
      <c r="I49" s="4"/>
      <c r="J49" t="s">
        <v>301</v>
      </c>
    </row>
    <row r="50" spans="1:10" ht="15">
      <c r="A50" s="18"/>
      <c r="B50" s="26" t="s">
        <v>29</v>
      </c>
      <c r="C50" s="26" t="s">
        <v>29</v>
      </c>
      <c r="D50" s="27" t="s">
        <v>32</v>
      </c>
      <c r="E50" s="27" t="s">
        <v>34</v>
      </c>
      <c r="F50" s="27" t="s">
        <v>290</v>
      </c>
      <c r="G50" s="73" t="s">
        <v>38</v>
      </c>
      <c r="H50" s="4"/>
      <c r="I50" s="4"/>
      <c r="J50" t="s">
        <v>345</v>
      </c>
    </row>
    <row r="51" spans="1:9" ht="15">
      <c r="A51" s="18" t="s">
        <v>16</v>
      </c>
      <c r="B51" s="21">
        <v>0</v>
      </c>
      <c r="C51" s="5">
        <v>10000</v>
      </c>
      <c r="D51" s="27">
        <v>1</v>
      </c>
      <c r="E51" s="30">
        <f>IF(B51&gt;0,IF(B58&lt;C58,B59/D58,C59/D58),C59/D58)</f>
        <v>10682.815306733437</v>
      </c>
      <c r="F51" s="30">
        <f>E51/D66*I65</f>
        <v>6108.517962428417</v>
      </c>
      <c r="G51" s="180">
        <f>IF(F51/D61&lt;E51,F51/D61,E51)</f>
        <v>9953.70816533324</v>
      </c>
      <c r="H51" s="4" t="s">
        <v>43</v>
      </c>
      <c r="I51" s="4"/>
    </row>
    <row r="52" spans="1:10" ht="15">
      <c r="A52" s="18" t="s">
        <v>7</v>
      </c>
      <c r="B52" s="22">
        <v>32</v>
      </c>
      <c r="C52" s="9">
        <v>32</v>
      </c>
      <c r="D52" s="60">
        <v>32</v>
      </c>
      <c r="E52" s="18"/>
      <c r="F52" s="18"/>
      <c r="G52" s="15">
        <f>G51*D58</f>
        <v>27428.93590580055</v>
      </c>
      <c r="H52" s="4" t="s">
        <v>44</v>
      </c>
      <c r="I52" s="4"/>
      <c r="J52" t="s">
        <v>299</v>
      </c>
    </row>
    <row r="53" spans="1:10" ht="15">
      <c r="A53" s="18" t="s">
        <v>26</v>
      </c>
      <c r="B53" s="58">
        <f>B54/1.31</f>
        <v>81.6793893129771</v>
      </c>
      <c r="C53" s="58">
        <f>C54/1.31</f>
        <v>81.6793893129771</v>
      </c>
      <c r="D53" s="29">
        <f>D54/1.31</f>
        <v>81.6793893129771</v>
      </c>
      <c r="E53" s="18"/>
      <c r="F53" s="18"/>
      <c r="G53" s="15">
        <f>G51*D61</f>
        <v>6108.5179624284165</v>
      </c>
      <c r="H53" s="4" t="s">
        <v>45</v>
      </c>
      <c r="I53" s="4"/>
      <c r="J53" t="s">
        <v>300</v>
      </c>
    </row>
    <row r="54" spans="1:10" ht="15">
      <c r="A54" s="18" t="s">
        <v>18</v>
      </c>
      <c r="B54" s="22">
        <v>107</v>
      </c>
      <c r="C54" s="9">
        <v>107</v>
      </c>
      <c r="D54" s="25">
        <v>107</v>
      </c>
      <c r="E54" s="18"/>
      <c r="F54" s="18"/>
      <c r="G54" s="15">
        <f>G51*D60</f>
        <v>6099.134678307943</v>
      </c>
      <c r="H54" s="4" t="s">
        <v>46</v>
      </c>
      <c r="I54" s="4"/>
      <c r="J54" t="s">
        <v>346</v>
      </c>
    </row>
    <row r="55" spans="1:9" ht="15">
      <c r="A55" s="18" t="s">
        <v>11</v>
      </c>
      <c r="B55" s="22">
        <v>150</v>
      </c>
      <c r="C55" s="68" t="s">
        <v>48</v>
      </c>
      <c r="D55" s="69" t="s">
        <v>49</v>
      </c>
      <c r="E55" s="18"/>
      <c r="F55" s="18"/>
      <c r="G55" s="16">
        <f>G51/D66</f>
        <v>255.2290921224801</v>
      </c>
      <c r="H55" s="4" t="s">
        <v>50</v>
      </c>
      <c r="I55" s="4"/>
    </row>
    <row r="56" spans="1:19" ht="15">
      <c r="A56" s="18" t="s">
        <v>12</v>
      </c>
      <c r="B56" s="23">
        <v>4.6</v>
      </c>
      <c r="C56" s="70" t="s">
        <v>47</v>
      </c>
      <c r="D56" s="69" t="s">
        <v>47</v>
      </c>
      <c r="E56" s="18"/>
      <c r="F56" s="4" t="s">
        <v>279</v>
      </c>
      <c r="G56" s="179"/>
      <c r="H56" s="4"/>
      <c r="I56" s="4"/>
      <c r="J56" s="18"/>
      <c r="K56" s="18"/>
      <c r="L56" s="18"/>
      <c r="M56" s="18"/>
      <c r="P56" s="18" t="s">
        <v>60</v>
      </c>
      <c r="Q56" s="18"/>
      <c r="R56" s="18"/>
      <c r="S56" s="18"/>
    </row>
    <row r="57" spans="1:19" ht="15">
      <c r="A57" s="18" t="s">
        <v>9</v>
      </c>
      <c r="B57" s="24">
        <v>2.87</v>
      </c>
      <c r="C57" s="71"/>
      <c r="D57" s="61"/>
      <c r="E57" s="35"/>
      <c r="F57" s="4" t="s">
        <v>280</v>
      </c>
      <c r="G57" s="4"/>
      <c r="H57" s="16">
        <f>30/I64</f>
        <v>1.2534747070843424</v>
      </c>
      <c r="I57" s="72" t="s">
        <v>283</v>
      </c>
      <c r="J57" s="18" t="s">
        <v>295</v>
      </c>
      <c r="K57" s="18"/>
      <c r="L57" s="18"/>
      <c r="M57" s="18"/>
      <c r="P57" s="18" t="s">
        <v>58</v>
      </c>
      <c r="Q57" s="18"/>
      <c r="R57" s="18"/>
      <c r="S57" s="18"/>
    </row>
    <row r="58" spans="1:19" ht="15">
      <c r="A58" s="18" t="s">
        <v>10</v>
      </c>
      <c r="B58" s="31">
        <f>((B54-B52)*B57*B55/6250)-(B54-B52)*0.0296</f>
        <v>2.946</v>
      </c>
      <c r="C58" s="31">
        <f>(C54-C52)*(13.23+0.1872*(C54+C52))/1000</f>
        <v>2.94381</v>
      </c>
      <c r="D58" s="31">
        <f>(D54-D52)*(13.39+0.168*(D54+D52))/1000</f>
        <v>2.7556500000000006</v>
      </c>
      <c r="E58" s="18"/>
      <c r="F58" s="4" t="s">
        <v>281</v>
      </c>
      <c r="G58" s="4"/>
      <c r="H58" s="180">
        <f>E51</f>
        <v>10682.815306733437</v>
      </c>
      <c r="I58" s="180" t="s">
        <v>293</v>
      </c>
      <c r="J58" s="18" t="s">
        <v>296</v>
      </c>
      <c r="K58" s="18"/>
      <c r="L58" s="18"/>
      <c r="M58" s="18"/>
      <c r="P58" s="18" t="s">
        <v>59</v>
      </c>
      <c r="Q58" s="18"/>
      <c r="R58" s="18"/>
      <c r="S58" s="18"/>
    </row>
    <row r="59" spans="1:10" ht="15">
      <c r="A59" s="18" t="s">
        <v>5</v>
      </c>
      <c r="B59" s="36">
        <f>B51*B58</f>
        <v>0</v>
      </c>
      <c r="C59" s="33">
        <f>C51*C58</f>
        <v>29438.100000000002</v>
      </c>
      <c r="D59" s="31">
        <f>D51*D58</f>
        <v>2.7556500000000006</v>
      </c>
      <c r="E59" s="197" t="s">
        <v>204</v>
      </c>
      <c r="F59" s="13"/>
      <c r="G59" s="184"/>
      <c r="H59" s="13"/>
      <c r="I59" s="149">
        <v>50</v>
      </c>
      <c r="J59" t="s">
        <v>211</v>
      </c>
    </row>
    <row r="60" spans="1:10" ht="15">
      <c r="A60" s="18" t="s">
        <v>13</v>
      </c>
      <c r="B60" s="31">
        <f>((B54-B52)*B57*B56/1000)-(B54-B52)*0.0055</f>
        <v>0.57765</v>
      </c>
      <c r="C60" s="31"/>
      <c r="D60" s="34">
        <f>(D54-D52)*(4+0.03*(D54+D52))/1000</f>
        <v>0.61275</v>
      </c>
      <c r="E60" s="13" t="s">
        <v>205</v>
      </c>
      <c r="F60" s="13"/>
      <c r="G60" s="13"/>
      <c r="H60" s="13"/>
      <c r="I60" s="149">
        <v>50</v>
      </c>
      <c r="J60" t="s">
        <v>212</v>
      </c>
    </row>
    <row r="61" spans="1:9" ht="15">
      <c r="A61" s="18" t="s">
        <v>197</v>
      </c>
      <c r="B61" s="31"/>
      <c r="C61" s="31"/>
      <c r="D61" s="150">
        <f>(I59/100*650+652*I60/100+657*I61/100+670*I62/100+690*I63/100)/650*D60</f>
        <v>0.6136926923076923</v>
      </c>
      <c r="E61" s="197" t="s">
        <v>208</v>
      </c>
      <c r="F61" s="13"/>
      <c r="G61" s="13"/>
      <c r="H61" s="13"/>
      <c r="I61" s="149">
        <v>0</v>
      </c>
    </row>
    <row r="62" spans="1:10" ht="15">
      <c r="A62" s="18" t="s">
        <v>14</v>
      </c>
      <c r="B62" s="124">
        <f>B51*B60</f>
        <v>0</v>
      </c>
      <c r="C62" s="33"/>
      <c r="D62" s="19"/>
      <c r="E62" s="197" t="s">
        <v>206</v>
      </c>
      <c r="F62" s="13"/>
      <c r="G62" s="13"/>
      <c r="H62" s="13"/>
      <c r="I62" s="149">
        <v>0</v>
      </c>
      <c r="J62" s="82" t="s">
        <v>209</v>
      </c>
    </row>
    <row r="63" spans="1:11" ht="15">
      <c r="A63" s="18" t="s">
        <v>271</v>
      </c>
      <c r="B63" s="34">
        <f>(40-B52)/5167+(87-40)/3088+(B54-87)/2254</f>
        <v>0.025641608924339535</v>
      </c>
      <c r="C63" s="34">
        <f>(40-C52)/5167+(87-40)/3088+(C54-87)/2254</f>
        <v>0.025641608924339535</v>
      </c>
      <c r="D63" s="34">
        <f>(40-D52)/5167+(87-40)/3088+(D54-87)/2254</f>
        <v>0.025641608924339535</v>
      </c>
      <c r="E63" s="198" t="s">
        <v>207</v>
      </c>
      <c r="F63" s="13"/>
      <c r="G63" s="13"/>
      <c r="H63" s="13"/>
      <c r="I63" s="149">
        <v>0</v>
      </c>
      <c r="J63" s="148">
        <f>I59+I60+I61+I62+I63</f>
        <v>100</v>
      </c>
      <c r="K63" t="s">
        <v>210</v>
      </c>
    </row>
    <row r="64" spans="1:9" ht="15">
      <c r="A64" s="18" t="s">
        <v>287</v>
      </c>
      <c r="B64" s="30">
        <f>B60/B63</f>
        <v>22.527837535642426</v>
      </c>
      <c r="C64" s="30">
        <f>C60/C63</f>
        <v>0</v>
      </c>
      <c r="D64" s="30">
        <f>D60/D63</f>
        <v>23.896706396546172</v>
      </c>
      <c r="E64" s="56" t="s">
        <v>199</v>
      </c>
      <c r="F64" s="4"/>
      <c r="G64" s="4"/>
      <c r="H64" s="4"/>
      <c r="I64" s="57">
        <f>D61/D63</f>
        <v>23.933470560233168</v>
      </c>
    </row>
    <row r="65" spans="1:9" ht="15">
      <c r="A65" s="18" t="s">
        <v>342</v>
      </c>
      <c r="B65" s="30">
        <f>B51*B63</f>
        <v>0</v>
      </c>
      <c r="C65" s="30">
        <f>C51*C63</f>
        <v>256.41608924339533</v>
      </c>
      <c r="D65" s="18"/>
      <c r="E65" s="13" t="s">
        <v>291</v>
      </c>
      <c r="F65" s="13"/>
      <c r="G65" s="194"/>
      <c r="H65" s="13"/>
      <c r="I65" s="13">
        <f>I59/100*22.3+I60/100*22.3+I61/100*22.5+I62/100*22.5+I63/100*23.8</f>
        <v>22.3</v>
      </c>
    </row>
    <row r="66" spans="1:9" ht="15">
      <c r="A66" s="18" t="s">
        <v>17</v>
      </c>
      <c r="B66" s="30">
        <f>1/B63</f>
        <v>38.99911284626059</v>
      </c>
      <c r="C66" s="30">
        <f>1/C63</f>
        <v>38.99911284626059</v>
      </c>
      <c r="D66" s="30">
        <f>1/D63</f>
        <v>38.99911284626059</v>
      </c>
      <c r="E66" s="13" t="s">
        <v>292</v>
      </c>
      <c r="F66" s="13"/>
      <c r="G66" s="13"/>
      <c r="H66" s="13"/>
      <c r="I66" s="13"/>
    </row>
    <row r="67" spans="2:3" ht="15">
      <c r="B67" s="7"/>
      <c r="C67" s="7"/>
    </row>
    <row r="68" spans="2:3" ht="15">
      <c r="B68" s="7"/>
      <c r="C68" s="7"/>
    </row>
    <row r="69" spans="1:8" ht="15">
      <c r="A69" s="8" t="s">
        <v>222</v>
      </c>
      <c r="B69" s="3"/>
      <c r="C69" s="3"/>
      <c r="D69" s="3"/>
      <c r="E69" s="3"/>
      <c r="F69" s="8" t="s">
        <v>387</v>
      </c>
      <c r="G69" s="3"/>
      <c r="H69" s="3"/>
    </row>
    <row r="70" spans="1:8" ht="15">
      <c r="A70" s="8"/>
      <c r="B70" s="3"/>
      <c r="C70" s="3" t="s">
        <v>28</v>
      </c>
      <c r="D70" s="82" t="s">
        <v>381</v>
      </c>
      <c r="E70" s="82"/>
      <c r="F70" s="3"/>
      <c r="G70" s="3"/>
      <c r="H70" s="3"/>
    </row>
    <row r="71" spans="1:8" ht="15">
      <c r="A71" s="18" t="s">
        <v>214</v>
      </c>
      <c r="B71" s="3" t="s">
        <v>224</v>
      </c>
      <c r="C71" s="3" t="s">
        <v>85</v>
      </c>
      <c r="D71" s="82" t="s">
        <v>85</v>
      </c>
      <c r="E71" s="3" t="s">
        <v>213</v>
      </c>
      <c r="F71" s="3"/>
      <c r="G71" s="3"/>
      <c r="H71" s="3" t="s">
        <v>215</v>
      </c>
    </row>
    <row r="72" spans="1:9" ht="15">
      <c r="A72" s="13" t="s">
        <v>218</v>
      </c>
      <c r="B72" s="151">
        <v>20</v>
      </c>
      <c r="C72" s="153">
        <v>3.793</v>
      </c>
      <c r="D72" s="235">
        <v>23.9</v>
      </c>
      <c r="E72" s="13" t="s">
        <v>77</v>
      </c>
      <c r="F72" s="13"/>
      <c r="G72" s="149">
        <v>50</v>
      </c>
      <c r="H72" s="153">
        <v>1.625</v>
      </c>
      <c r="I72" s="13"/>
    </row>
    <row r="73" spans="1:9" ht="15">
      <c r="A73" s="13" t="s">
        <v>219</v>
      </c>
      <c r="B73" s="151">
        <v>0</v>
      </c>
      <c r="C73" s="153">
        <v>3.793</v>
      </c>
      <c r="D73" s="235">
        <v>23.9</v>
      </c>
      <c r="E73" s="13" t="s">
        <v>78</v>
      </c>
      <c r="F73" s="13"/>
      <c r="G73" s="149">
        <v>50</v>
      </c>
      <c r="H73" s="153">
        <v>1.625</v>
      </c>
      <c r="I73" s="13"/>
    </row>
    <row r="74" spans="1:9" ht="15">
      <c r="A74" s="13" t="s">
        <v>220</v>
      </c>
      <c r="B74" s="151">
        <v>0</v>
      </c>
      <c r="C74" s="153">
        <v>3.827</v>
      </c>
      <c r="D74" s="235">
        <v>23.9</v>
      </c>
      <c r="E74" s="13" t="s">
        <v>221</v>
      </c>
      <c r="F74" s="13"/>
      <c r="G74" s="149">
        <v>0</v>
      </c>
      <c r="H74" s="153">
        <v>1.82</v>
      </c>
      <c r="I74" s="13"/>
    </row>
    <row r="75" spans="1:9" ht="15">
      <c r="A75" s="13" t="s">
        <v>106</v>
      </c>
      <c r="B75" s="151">
        <v>0</v>
      </c>
      <c r="C75" s="153">
        <v>3.954</v>
      </c>
      <c r="D75" s="232">
        <v>24.5</v>
      </c>
      <c r="E75" s="13" t="s">
        <v>225</v>
      </c>
      <c r="F75" s="13"/>
      <c r="G75" s="10">
        <f>SUM(G72:G74)</f>
        <v>100</v>
      </c>
      <c r="H75" s="154">
        <f>(G72*H72+G73*H73+G74*H74)/100</f>
        <v>1.625</v>
      </c>
      <c r="I75" s="13" t="s">
        <v>223</v>
      </c>
    </row>
    <row r="76" spans="1:8" ht="15">
      <c r="A76" s="13" t="s">
        <v>107</v>
      </c>
      <c r="B76" s="151">
        <v>0</v>
      </c>
      <c r="C76" s="153">
        <v>3.954</v>
      </c>
      <c r="D76" s="232">
        <v>24.5</v>
      </c>
      <c r="E76" s="3"/>
      <c r="F76" s="3"/>
      <c r="G76" s="10" t="s">
        <v>210</v>
      </c>
      <c r="H76" s="3"/>
    </row>
    <row r="77" spans="1:8" ht="15">
      <c r="A77" s="13" t="s">
        <v>108</v>
      </c>
      <c r="B77" s="151">
        <v>0</v>
      </c>
      <c r="C77" s="153">
        <v>4.209</v>
      </c>
      <c r="D77" s="235">
        <v>25.6</v>
      </c>
      <c r="E77" s="3"/>
      <c r="F77" s="3"/>
      <c r="G77" s="3"/>
      <c r="H77" s="3"/>
    </row>
    <row r="78" spans="1:8" ht="15">
      <c r="A78" s="13" t="s">
        <v>109</v>
      </c>
      <c r="B78" s="151">
        <v>80</v>
      </c>
      <c r="C78" s="153">
        <v>3.816</v>
      </c>
      <c r="D78" s="235">
        <v>23.9</v>
      </c>
      <c r="E78" s="3" t="s">
        <v>216</v>
      </c>
      <c r="F78" s="3"/>
      <c r="G78" s="3"/>
      <c r="H78" s="3"/>
    </row>
    <row r="79" spans="1:6" ht="15">
      <c r="A79" s="13" t="s">
        <v>226</v>
      </c>
      <c r="B79" s="152">
        <f>SUM(B72:B78)</f>
        <v>100</v>
      </c>
      <c r="C79" s="154">
        <f>(B72*C72+B73*C73+B74*C74+B75*C75+B76*C76+B77*C77+B78*C78)/100</f>
        <v>3.8114</v>
      </c>
      <c r="D79" s="234">
        <f>(B72*D72+B73*D73+B74*D74+B75*D75+B76*D76+B77*D77+B78*D78)/100</f>
        <v>23.9</v>
      </c>
      <c r="E79" s="236">
        <f>C79+H75</f>
        <v>5.4364</v>
      </c>
      <c r="F79" s="155" t="s">
        <v>217</v>
      </c>
    </row>
    <row r="80" spans="2:4" ht="15">
      <c r="B80" s="10" t="s">
        <v>210</v>
      </c>
      <c r="D80" s="233" t="s">
        <v>382</v>
      </c>
    </row>
    <row r="81" spans="2:4" ht="15">
      <c r="B81" s="3"/>
      <c r="D81" s="233" t="s">
        <v>383</v>
      </c>
    </row>
    <row r="84" ht="15">
      <c r="G84" t="s">
        <v>56</v>
      </c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anmeldeordning, miljø</dc:subject>
  <dc:creator>Per Tybirk</dc:creator>
  <cp:keywords/>
  <dc:description/>
  <cp:lastModifiedBy>Dorthe Sigrúnsdóttir Jensen</cp:lastModifiedBy>
  <cp:lastPrinted>2015-07-06T13:33:08Z</cp:lastPrinted>
  <dcterms:created xsi:type="dcterms:W3CDTF">2010-10-15T07:29:17Z</dcterms:created>
  <dcterms:modified xsi:type="dcterms:W3CDTF">2015-11-09T09:33:49Z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>per tybirk</vt:lpwstr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>pet@seges.dk</vt:lpwstr>
  </property>
  <property fmtid="{D5CDD505-2E9C-101B-9397-08002B2CF9AE}" pid="13" name="DocuWise.Number">
    <vt:lpwstr/>
  </property>
  <property fmtid="{D5CDD505-2E9C-101B-9397-08002B2CF9AE}" pid="14" name="DocuWise.CaseWorker">
    <vt:lpwstr>334;#Per Tybirk</vt:lpwstr>
  </property>
  <property fmtid="{D5CDD505-2E9C-101B-9397-08002B2CF9AE}" pid="15" name="Docuwise.Legacy.CaseWorkerEmail">
    <vt:lpwstr>pet@seges.dk</vt:lpwstr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>Per Tybirk</vt:lpwstr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LFID-25-67336</vt:lpwstr>
  </property>
  <property fmtid="{D5CDD505-2E9C-101B-9397-08002B2CF9AE}" pid="23" name="_dlc_DocIdItemGuid">
    <vt:lpwstr>fcfdc96d-b2e6-4469-af19-623831bf4f78</vt:lpwstr>
  </property>
  <property fmtid="{D5CDD505-2E9C-101B-9397-08002B2CF9AE}" pid="24" name="_dlc_DocIdUrl">
    <vt:lpwstr>http://lf-docuwise/vsp/vspaktivteter/_layouts/DocIdRedir.aspx?ID=LFID-25-67336, LFID-25-67336</vt:lpwstr>
  </property>
</Properties>
</file>