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tabRatio="936" activeTab="2"/>
  </bookViews>
  <sheets>
    <sheet name="Versionslog" sheetId="1" r:id="rId1"/>
    <sheet name="Sædpriser" sheetId="2" state="hidden" r:id="rId2"/>
    <sheet name="Inddata" sheetId="3" r:id="rId3"/>
  </sheets>
  <definedNames>
    <definedName name="Antal_årssøer">'Inddata'!$B$5</definedName>
    <definedName name="Kuld_pr._årsso__stk.">'Inddata'!$B$7</definedName>
    <definedName name="Poltekapacitetsgrad_fra_22_uger">'Inddata'!$B$17</definedName>
    <definedName name="Poltekapacitetsgrad_ved_fødsel">'Inddata'!$B$15</definedName>
    <definedName name="sæd" localSheetId="1">'Sædpriser'!$A$10:$F$73</definedName>
    <definedName name="Sæddoser_pr._årsso__stk.">'Inddata'!$B$8</definedName>
    <definedName name="_xlnm.Print_Area" localSheetId="2">'Inddata'!$A$1:$G$175</definedName>
  </definedNames>
  <calcPr fullCalcOnLoad="1"/>
</workbook>
</file>

<file path=xl/comments3.xml><?xml version="1.0" encoding="utf-8"?>
<comments xmlns="http://schemas.openxmlformats.org/spreadsheetml/2006/main">
  <authors>
    <author>Thomas Muurmann Henriksen</author>
    <author>Michael Groes Christiansen</author>
  </authors>
  <commentList>
    <comment ref="A61" authorId="0">
      <text>
        <r>
          <rPr>
            <sz val="8"/>
            <rFont val="Tahoma"/>
            <family val="2"/>
          </rPr>
          <t>Vedrører kun det ekstra arbejdsforbrug, der er hos kernesøerne, herunder zigzag-søer der løbes med LL og YY-sæd!</t>
        </r>
      </text>
    </comment>
    <comment ref="A63" authorId="0">
      <text>
        <r>
          <rPr>
            <sz val="8"/>
            <rFont val="Tahoma"/>
            <family val="2"/>
          </rPr>
          <t>Værdi hentes fra Landsbladet Svin eller ved henvendelse til Finn Udesen!</t>
        </r>
      </text>
    </comment>
    <comment ref="A59" authorId="0">
      <text>
        <r>
          <rPr>
            <sz val="8"/>
            <rFont val="Tahoma"/>
            <family val="2"/>
          </rPr>
          <t>Denne udgift medregnes kun, hvis der antages samme indeksniveau ved hjemmeavl som indkøb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8"/>
            <rFont val="Tahoma"/>
            <family val="2"/>
          </rPr>
          <t xml:space="preserve">Værdien skal være den samme som i smågriseindex beregningen. 
For hver sopolt der udtrækkes til egen avl, koster det 50 % af dette beløb (denne beregning er forsimplet i forhold til den der bruges i smågriseindex.
</t>
        </r>
      </text>
    </comment>
    <comment ref="A19" authorId="1">
      <text>
        <r>
          <rPr>
            <sz val="8"/>
            <rFont val="Tahoma"/>
            <family val="2"/>
          </rPr>
          <t xml:space="preserve">
Bruges i beregningen tabt DB grundet heterosis</t>
        </r>
      </text>
    </comment>
    <comment ref="D73" authorId="1">
      <text>
        <r>
          <rPr>
            <sz val="8"/>
            <rFont val="Tahoma"/>
            <family val="2"/>
          </rPr>
          <t xml:space="preserve">Anbefalinger er ca. 50 pct. merareal og restriktiv fodring så de vokser ca. 750 -800 gram dgl.. Den langsommere tilvækst ganges på mearealkravet.
50%*(1,15)
</t>
        </r>
      </text>
    </comment>
    <comment ref="B166" authorId="0">
      <text>
        <r>
          <rPr>
            <sz val="8"/>
            <rFont val="Tahoma"/>
            <family val="2"/>
          </rPr>
          <t>Beregnet ud fra kuldstørrelser hos LL og YY samt kendskab til heterosis</t>
        </r>
      </text>
    </comment>
  </commentList>
</comments>
</file>

<file path=xl/sharedStrings.xml><?xml version="1.0" encoding="utf-8"?>
<sst xmlns="http://schemas.openxmlformats.org/spreadsheetml/2006/main" count="257" uniqueCount="183">
  <si>
    <t>Kuld pr. årsso, stk.</t>
  </si>
  <si>
    <t>Pris pr. avlsøremærke, kr.</t>
  </si>
  <si>
    <t>Avlsmæssigt efterslæb, indekspoint</t>
  </si>
  <si>
    <t>Tab af heterosis for produktionsegenskaber, kr.</t>
  </si>
  <si>
    <t>Generelle antagelser</t>
  </si>
  <si>
    <t>Indkøb</t>
  </si>
  <si>
    <t>Risikokasse, kr. pr. dyr</t>
  </si>
  <si>
    <t>Sundhed</t>
  </si>
  <si>
    <t>Hjemmeavl; antagelser</t>
  </si>
  <si>
    <t>Værdi af et idx-point, kr.</t>
  </si>
  <si>
    <t>Genoverførsel, %/100</t>
  </si>
  <si>
    <t>Gennemslag, %/100</t>
  </si>
  <si>
    <t>YLY</t>
  </si>
  <si>
    <t>LYLY</t>
  </si>
  <si>
    <t>Fragtomk. i kr./stk.</t>
  </si>
  <si>
    <t>Heterosis, %/100</t>
  </si>
  <si>
    <t>ZZ</t>
  </si>
  <si>
    <t>LLY</t>
  </si>
  <si>
    <t>Karantænestald, kr. pr. dyr</t>
  </si>
  <si>
    <t>Zigzag</t>
  </si>
  <si>
    <t>Input-værdier i de gule celler kan/skal justeres!</t>
  </si>
  <si>
    <t>Ekstra arbejdsforbrug, timer/kerneso</t>
  </si>
  <si>
    <t>Arbejdsløn, kr. pr. time</t>
  </si>
  <si>
    <t>Omk. KerneStyring, kr.</t>
  </si>
  <si>
    <t>Sæddoser pr. årsso, stk.</t>
  </si>
  <si>
    <t>Værdi af et indekspoint pr. so, kr.</t>
  </si>
  <si>
    <t>Rød-SPF 1; 22 uger</t>
  </si>
  <si>
    <t>Rød-SPF 2, MS-X; 22 uger</t>
  </si>
  <si>
    <t>Rød-SPF 3; 22 uger</t>
  </si>
  <si>
    <t xml:space="preserve">Rød-SPF 4; 22 uger </t>
  </si>
  <si>
    <t>LL, LG5</t>
  </si>
  <si>
    <t>YY, LG5</t>
  </si>
  <si>
    <t>LY/YL, LG5</t>
  </si>
  <si>
    <t>LLY, LG5</t>
  </si>
  <si>
    <t>YLY, LG5</t>
  </si>
  <si>
    <t>LYLY, LG5</t>
  </si>
  <si>
    <t>ZZ(L-), LG5</t>
  </si>
  <si>
    <t>ZZ(Y-), LG5</t>
  </si>
  <si>
    <t xml:space="preserve"> </t>
  </si>
  <si>
    <t>LL/YY, renrace korrektion kr tab per produceret LL/YY</t>
  </si>
  <si>
    <t>Pattegrisedødelighed efter dag 5</t>
  </si>
  <si>
    <t>Beregning af priser på polte ved indkøb i forhold til hjemmeavl</t>
  </si>
  <si>
    <t>Version 1.01</t>
  </si>
  <si>
    <t>Dato</t>
  </si>
  <si>
    <t>Ændringer</t>
  </si>
  <si>
    <t>Fejl rettet i avlsmæssigt efterslæb (forkerte kombinationer). Ændring i tabt db pga egen avlsdyr: Udgiften er gjort mindre, beregnes nu via merarealbetragtninger</t>
  </si>
  <si>
    <t>PoltePris</t>
  </si>
  <si>
    <t>Priser</t>
  </si>
  <si>
    <t>pr.</t>
  </si>
  <si>
    <t>1.</t>
  </si>
  <si>
    <t>oktober</t>
  </si>
  <si>
    <t>Landrace</t>
  </si>
  <si>
    <t>Yorkshire</t>
  </si>
  <si>
    <t>Index</t>
  </si>
  <si>
    <t>Navnes訶</t>
  </si>
  <si>
    <t>Topnavnes訶</t>
  </si>
  <si>
    <t>i genafgift</t>
  </si>
  <si>
    <t>Kilde</t>
  </si>
  <si>
    <t>avl</t>
  </si>
  <si>
    <t>Version 1.02</t>
  </si>
  <si>
    <t>Opdatering af værdier samt omkostninger, nyt layoout for output</t>
  </si>
  <si>
    <t>% 1 lægssøer</t>
  </si>
  <si>
    <t>Årlig soudskiftning, beregnes</t>
  </si>
  <si>
    <t>Gylteudnyttelses procent</t>
  </si>
  <si>
    <t>Aktuel</t>
  </si>
  <si>
    <t>Ved nulpunkt</t>
  </si>
  <si>
    <t>Krav til DC/Tican notering for at der er nulpunkt, kr/kg</t>
  </si>
  <si>
    <t>Besætningskernetyper</t>
  </si>
  <si>
    <t>YY</t>
  </si>
  <si>
    <t>LL</t>
  </si>
  <si>
    <t>Øremærker</t>
  </si>
  <si>
    <t>Priser på sæd</t>
  </si>
  <si>
    <t>Navnesæd, pris i kr. pr. dose (L eller Y, idx 140) inkl afgift</t>
  </si>
  <si>
    <t>Specialsæd, pris i kr. pr. dose (Y eller L, idx 124) inkl afgift</t>
  </si>
  <si>
    <t>se poltemanagement</t>
  </si>
  <si>
    <t>Poltekapacitetsgrad ved fødsel</t>
  </si>
  <si>
    <t>Årligt behov for løbe klare polte</t>
  </si>
  <si>
    <t>Poltekapacitetsgrad fra 22 uger</t>
  </si>
  <si>
    <t>Sundhedstillæg</t>
  </si>
  <si>
    <t>Avlskuld årligt, absolut minimum</t>
  </si>
  <si>
    <t>Beregnet pris</t>
  </si>
  <si>
    <t>Benyttet pris</t>
  </si>
  <si>
    <t>Produktionssæd, pris i kr. pr. dose, inkl. genafgift</t>
  </si>
  <si>
    <t>Søer i besætningen som også er avlsdyr, årssøer</t>
  </si>
  <si>
    <t>Indlæg sikkerhedsmargin, pct. ekstra avlskuld</t>
  </si>
  <si>
    <t>Kernestørrelse, pct. af årssøer, ændres via sikkerhedsmargin</t>
  </si>
  <si>
    <t>Valgt kerne</t>
  </si>
  <si>
    <t>Forskel i fravænnede grise, stk årligt</t>
  </si>
  <si>
    <t>Overførsel eller køb af polte</t>
  </si>
  <si>
    <t>Kerne størrelse</t>
  </si>
  <si>
    <t>Produktionssøer, race</t>
  </si>
  <si>
    <t xml:space="preserve">Arbejde </t>
  </si>
  <si>
    <t>Udgift kernestyringsprogram</t>
  </si>
  <si>
    <t>Produktionssøer, afkom</t>
  </si>
  <si>
    <t>LY</t>
  </si>
  <si>
    <t>YL</t>
  </si>
  <si>
    <t>Kuldstørrelse, eksempel LG5 pr. kuld, stk.</t>
  </si>
  <si>
    <t>Numerisk forskel i kuldstørrelse i forhold til LY, stk./kuld i LG5</t>
  </si>
  <si>
    <t>Antal årssøer</t>
  </si>
  <si>
    <t>Vaccinationer</t>
  </si>
  <si>
    <t>I alt per indkøbt polt</t>
  </si>
  <si>
    <t>Egen vaccination polte (22 uger), inkl. arbejdsløn</t>
  </si>
  <si>
    <t>Enheder</t>
  </si>
  <si>
    <t>Enhedsværdi</t>
  </si>
  <si>
    <t>Beløb pr år i kr</t>
  </si>
  <si>
    <t>Egen produktion</t>
  </si>
  <si>
    <t>Avlsmæssigt efterslæb ? (indeks korrektion)</t>
  </si>
  <si>
    <t>Kernetype</t>
  </si>
  <si>
    <t>Total udgift, sohold</t>
  </si>
  <si>
    <t>Færre sogrise til slagtning</t>
  </si>
  <si>
    <t>Total udgift, full line produktion</t>
  </si>
  <si>
    <t>Benyt aktuel eller nulpunkpris notering</t>
  </si>
  <si>
    <t>Slagtesvin pr. årsso, stk.(kun vigtig ved full line betragtning)</t>
  </si>
  <si>
    <t>Rente og afskrivninger ekstra staldleje</t>
  </si>
  <si>
    <t>Smågrisestiplads</t>
  </si>
  <si>
    <t>Slagtesvinstiplads</t>
  </si>
  <si>
    <t>Rente</t>
  </si>
  <si>
    <t>Kapital-omkostning per uge + vedl. Hold</t>
  </si>
  <si>
    <t>Øget areal til polte</t>
  </si>
  <si>
    <t>Opholdstid uger</t>
  </si>
  <si>
    <t>Poltekapacitetsgrad ved 30 kg</t>
  </si>
  <si>
    <t>Marginal omkostning staldleje, per løbeklar polt</t>
  </si>
  <si>
    <t>Besætnings kernetyper</t>
  </si>
  <si>
    <t>Resterende søer</t>
  </si>
  <si>
    <t>Numerisk tab kerne, fravænnede grise</t>
  </si>
  <si>
    <t>Numerisk tab produktionssøer, fravænnede grise</t>
  </si>
  <si>
    <t>Heterosisberegning afkom avlssøer; produktionsegenskaber slagtesvin</t>
  </si>
  <si>
    <t>Træf din avlsbeslutninger aktuel eller ved egen nulpunktsnotering !!!</t>
  </si>
  <si>
    <t>Indkøb; Poltepris, kr. pr. stk., ekskl. fragt, 22 uger</t>
  </si>
  <si>
    <t>Poltepris, kr. pr. stk., ekskl. fragt, 22 uger</t>
  </si>
  <si>
    <t>Fravænnede grise per årsso</t>
  </si>
  <si>
    <t>Fravænende grise, produktionssøer</t>
  </si>
  <si>
    <t>Fravænnede grise, avlssøer - polte</t>
  </si>
  <si>
    <t>marginal staldleje smågristald, per løbet polt</t>
  </si>
  <si>
    <t>marginal staldleje slagetsvinstald, per løbet polt</t>
  </si>
  <si>
    <t>Indekstab</t>
  </si>
  <si>
    <t>Pris per løbet polt</t>
  </si>
  <si>
    <t>Forskel hjemavl versus indkøb</t>
  </si>
  <si>
    <t xml:space="preserve">Kilde </t>
  </si>
  <si>
    <t>beregnet</t>
  </si>
  <si>
    <t>Pris per stiplads</t>
  </si>
  <si>
    <t>Heterosisberegning; kuldstørrelse;</t>
  </si>
  <si>
    <t xml:space="preserve">Beregning af indeksværdi; </t>
  </si>
  <si>
    <t>manglende duroc</t>
  </si>
  <si>
    <t>33 % tabt heterosis (LLY)</t>
  </si>
  <si>
    <t>Værdi fuld heterosis</t>
  </si>
  <si>
    <t>Værdi af ekstra fravænnet gris kr. pr. stk.</t>
  </si>
  <si>
    <t>Manglende duroc</t>
  </si>
  <si>
    <t>Tabt Heterosisberegning; produktionsegenskaber slagtesvin fra kerneafkom</t>
  </si>
  <si>
    <t>kr/gris</t>
  </si>
  <si>
    <t>Avlssøer, Numerisk forskel i kuldstørrelse i forhold til LY, stk./kuld i LG5</t>
  </si>
  <si>
    <t>Produktionssøer, Numerisk forskel i kuldstørrelse i forhold til LY, stk./kuld i LG5</t>
  </si>
  <si>
    <t>manglende duroc + tabt heterosis LLY</t>
  </si>
  <si>
    <t>Sædudgifter i alt</t>
  </si>
  <si>
    <t xml:space="preserve">    Topnavnesæd</t>
  </si>
  <si>
    <t xml:space="preserve">    Navnesæd</t>
  </si>
  <si>
    <t xml:space="preserve">    Produktionssæd</t>
  </si>
  <si>
    <t>Vælg kernetype og benchmark op i mod sundhedsklasse</t>
  </si>
  <si>
    <t>Omkostning til ekstra plads polte op til 22 uger</t>
  </si>
  <si>
    <t>Understående rækker er input givet af GFU/VSP</t>
  </si>
  <si>
    <t>Omkostning avlsstrategi, sohold</t>
  </si>
  <si>
    <t>Total omkostning avlsstrategi, full line produktion samme indeks</t>
  </si>
  <si>
    <t>Nulpunktnotering</t>
  </si>
  <si>
    <t>Plads</t>
  </si>
  <si>
    <t>Billigste/bedste løsning</t>
  </si>
  <si>
    <t>Benytte notering</t>
  </si>
  <si>
    <t>Notering</t>
  </si>
  <si>
    <t>kr/kg</t>
  </si>
  <si>
    <t>Andel af avlssøer som løbes med navnesæd</t>
  </si>
  <si>
    <r>
      <t>Forklaring poltekapacitetsgrad =</t>
    </r>
    <r>
      <rPr>
        <sz val="10"/>
        <rFont val="Arial"/>
        <family val="0"/>
      </rPr>
      <t xml:space="preserve"> Hvormange polte ved en given alder forhold til den ene som bliver løbet</t>
    </r>
  </si>
  <si>
    <t>Aktuel notering, kr/kg</t>
  </si>
  <si>
    <t>fra 7 kg pris fratræk foderomkostning (ca. 5,5 kg pattegrisetilvækst * 2,7 Fesvso*foderpris feso/kg)</t>
  </si>
  <si>
    <t>Alternativ værdi polt 22 uger, slagtekrop, kg</t>
  </si>
  <si>
    <t>Forskel mellem en so gris og galtgris i DB/gris</t>
  </si>
  <si>
    <t>Forskel hjemavl versus indkøb, per årsso</t>
  </si>
  <si>
    <t>Avlsudgift per løbet polt</t>
  </si>
  <si>
    <t>Total omkostning udskiftning og avl</t>
  </si>
  <si>
    <t>Indtægter fra salg af slagtesøer og salg af polte over 22 uger forudsættes at være ens</t>
  </si>
  <si>
    <t>Difference</t>
  </si>
  <si>
    <t>Indkøb af given sundhedsstatus</t>
  </si>
  <si>
    <t>Version 1.03</t>
  </si>
  <si>
    <t>Opdatering af værdier for aktuelle priser.</t>
  </si>
  <si>
    <t xml:space="preserve">Senest opdateret: 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</si>
</sst>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0.0%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_ * #,##0_ ;_ * \-#,##0_ ;_ * &quot;-&quot;??_ ;_ @_ "/>
    <numFmt numFmtId="186" formatCode="0.00000000"/>
    <numFmt numFmtId="187" formatCode="0.00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9" fontId="0" fillId="33" borderId="0" xfId="0" applyNumberForma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8" fontId="0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 vertical="center" wrapText="1"/>
    </xf>
    <xf numFmtId="167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0" fontId="0" fillId="33" borderId="12" xfId="0" applyFill="1" applyBorder="1" applyAlignment="1">
      <alignment wrapText="1"/>
    </xf>
    <xf numFmtId="1" fontId="0" fillId="33" borderId="12" xfId="0" applyNumberFormat="1" applyFill="1" applyBorder="1" applyAlignment="1">
      <alignment wrapText="1"/>
    </xf>
    <xf numFmtId="9" fontId="0" fillId="33" borderId="12" xfId="0" applyNumberFormat="1" applyFill="1" applyBorder="1" applyAlignment="1">
      <alignment wrapText="1"/>
    </xf>
    <xf numFmtId="1" fontId="0" fillId="0" borderId="12" xfId="56" applyNumberFormat="1" applyFont="1" applyBorder="1" applyAlignment="1">
      <alignment wrapText="1"/>
    </xf>
    <xf numFmtId="0" fontId="0" fillId="0" borderId="12" xfId="0" applyFill="1" applyBorder="1" applyAlignment="1">
      <alignment wrapText="1"/>
    </xf>
    <xf numFmtId="17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178" fontId="0" fillId="33" borderId="12" xfId="40" applyNumberFormat="1" applyFont="1" applyFill="1" applyBorder="1" applyAlignment="1" applyProtection="1">
      <alignment/>
      <protection locked="0"/>
    </xf>
    <xf numFmtId="178" fontId="0" fillId="0" borderId="12" xfId="0" applyNumberFormat="1" applyBorder="1" applyAlignment="1">
      <alignment/>
    </xf>
    <xf numFmtId="178" fontId="0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9" fontId="0" fillId="34" borderId="0" xfId="56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0" fontId="0" fillId="34" borderId="12" xfId="0" applyFill="1" applyBorder="1" applyAlignment="1">
      <alignment wrapText="1"/>
    </xf>
    <xf numFmtId="9" fontId="0" fillId="33" borderId="12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172" fontId="0" fillId="33" borderId="12" xfId="0" applyNumberFormat="1" applyFont="1" applyFill="1" applyBorder="1" applyAlignment="1" applyProtection="1">
      <alignment/>
      <protection locked="0"/>
    </xf>
    <xf numFmtId="9" fontId="0" fillId="0" borderId="12" xfId="56" applyFont="1" applyBorder="1" applyAlignment="1">
      <alignment/>
    </xf>
    <xf numFmtId="9" fontId="0" fillId="33" borderId="12" xfId="56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9" fontId="0" fillId="33" borderId="12" xfId="0" applyNumberFormat="1" applyFill="1" applyBorder="1" applyAlignment="1">
      <alignment/>
    </xf>
    <xf numFmtId="1" fontId="0" fillId="0" borderId="12" xfId="56" applyNumberFormat="1" applyFont="1" applyBorder="1" applyAlignment="1">
      <alignment/>
    </xf>
    <xf numFmtId="10" fontId="0" fillId="0" borderId="12" xfId="56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172" fontId="0" fillId="33" borderId="12" xfId="56" applyNumberFormat="1" applyFont="1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0" borderId="19" xfId="0" applyFont="1" applyBorder="1" applyAlignment="1">
      <alignment/>
    </xf>
    <xf numFmtId="178" fontId="0" fillId="33" borderId="19" xfId="4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33" borderId="2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 locked="0"/>
    </xf>
    <xf numFmtId="167" fontId="0" fillId="0" borderId="12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2" fontId="0" fillId="35" borderId="12" xfId="0" applyNumberFormat="1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9" fontId="0" fillId="34" borderId="12" xfId="0" applyNumberFormat="1" applyFill="1" applyBorder="1" applyAlignment="1">
      <alignment/>
    </xf>
    <xf numFmtId="3" fontId="1" fillId="0" borderId="27" xfId="0" applyNumberFormat="1" applyFont="1" applyBorder="1" applyAlignment="1">
      <alignment/>
    </xf>
    <xf numFmtId="179" fontId="1" fillId="0" borderId="1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34" borderId="34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34" borderId="34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24"/>
  <sheetViews>
    <sheetView zoomScalePageLayoutView="0" workbookViewId="0" topLeftCell="A1">
      <selection activeCell="C8" sqref="C8:Q8"/>
    </sheetView>
  </sheetViews>
  <sheetFormatPr defaultColWidth="9.140625" defaultRowHeight="12.75"/>
  <cols>
    <col min="1" max="1" width="10.140625" style="0" bestFit="1" customWidth="1"/>
    <col min="2" max="2" width="11.421875" style="0" bestFit="1" customWidth="1"/>
  </cols>
  <sheetData>
    <row r="4" ht="13.5" thickBot="1"/>
    <row r="5" spans="1:17" ht="12.75">
      <c r="A5" s="18" t="s">
        <v>43</v>
      </c>
      <c r="B5" s="19" t="s">
        <v>46</v>
      </c>
      <c r="C5" s="139" t="s">
        <v>44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17" ht="12.75">
      <c r="A6" s="20">
        <v>40108</v>
      </c>
      <c r="B6" s="17" t="s">
        <v>42</v>
      </c>
      <c r="C6" s="136" t="s">
        <v>45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12.75">
      <c r="A7" s="20">
        <v>40842</v>
      </c>
      <c r="B7" s="17" t="s">
        <v>59</v>
      </c>
      <c r="C7" s="136" t="s">
        <v>60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</row>
    <row r="8" spans="1:17" ht="12.75">
      <c r="A8" s="20">
        <v>41656</v>
      </c>
      <c r="B8" s="15" t="s">
        <v>180</v>
      </c>
      <c r="C8" s="141" t="s">
        <v>181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8"/>
    </row>
    <row r="9" spans="1:17" ht="12.75">
      <c r="A9" s="20"/>
      <c r="B9" s="17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3"/>
    </row>
    <row r="10" spans="1:17" ht="12.75">
      <c r="A10" s="20"/>
      <c r="B10" s="17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3"/>
    </row>
    <row r="11" spans="1:17" ht="12.75">
      <c r="A11" s="20"/>
      <c r="B11" s="17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</row>
    <row r="12" spans="1:17" ht="12.75">
      <c r="A12" s="20"/>
      <c r="B12" s="17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3"/>
    </row>
    <row r="13" spans="1:17" ht="12.75">
      <c r="A13" s="20"/>
      <c r="B13" s="17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</row>
    <row r="14" spans="1:17" ht="12.75">
      <c r="A14" s="20"/>
      <c r="B14" s="17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</row>
    <row r="15" spans="1:17" ht="12.75">
      <c r="A15" s="20"/>
      <c r="B15" s="17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</row>
    <row r="16" spans="1:17" ht="12.75">
      <c r="A16" s="20"/>
      <c r="B16" s="17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3"/>
    </row>
    <row r="17" spans="1:17" ht="12.75">
      <c r="A17" s="20"/>
      <c r="B17" s="17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3"/>
    </row>
    <row r="18" spans="1:17" ht="12.75">
      <c r="A18" s="20"/>
      <c r="B18" s="17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</row>
    <row r="19" spans="1:17" ht="12.75">
      <c r="A19" s="20"/>
      <c r="B19" s="1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</row>
    <row r="20" spans="1:17" ht="12.75">
      <c r="A20" s="20"/>
      <c r="B20" s="17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</row>
    <row r="21" spans="1:17" ht="12.75">
      <c r="A21" s="20"/>
      <c r="B21" s="17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</row>
    <row r="22" spans="1:17" ht="12.75">
      <c r="A22" s="20"/>
      <c r="B22" s="17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</row>
    <row r="23" spans="1:17" ht="12.75">
      <c r="A23" s="20"/>
      <c r="B23" s="17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</row>
    <row r="24" spans="1:17" ht="13.5" thickBot="1">
      <c r="A24" s="21"/>
      <c r="B24" s="22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</row>
  </sheetData>
  <sheetProtection/>
  <mergeCells count="20">
    <mergeCell ref="C17:Q17"/>
    <mergeCell ref="C18:Q18"/>
    <mergeCell ref="C23:Q23"/>
    <mergeCell ref="C24:Q24"/>
    <mergeCell ref="C19:Q19"/>
    <mergeCell ref="C20:Q20"/>
    <mergeCell ref="C21:Q21"/>
    <mergeCell ref="C22:Q22"/>
    <mergeCell ref="C15:Q15"/>
    <mergeCell ref="C16:Q16"/>
    <mergeCell ref="C9:Q9"/>
    <mergeCell ref="C10:Q10"/>
    <mergeCell ref="C11:Q11"/>
    <mergeCell ref="C12:Q12"/>
    <mergeCell ref="C6:Q6"/>
    <mergeCell ref="C5:Q5"/>
    <mergeCell ref="C7:Q7"/>
    <mergeCell ref="C8:Q8"/>
    <mergeCell ref="C13:Q13"/>
    <mergeCell ref="C14:Q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F73"/>
  <sheetViews>
    <sheetView zoomScalePageLayoutView="0" workbookViewId="0" topLeftCell="A1">
      <selection activeCell="E19" sqref="A19:E21"/>
    </sheetView>
  </sheetViews>
  <sheetFormatPr defaultColWidth="9.140625" defaultRowHeight="12.75"/>
  <cols>
    <col min="1" max="1" width="8.57421875" style="0" customWidth="1"/>
    <col min="2" max="2" width="9.00390625" style="0" customWidth="1"/>
    <col min="3" max="3" width="11.7109375" style="0" bestFit="1" customWidth="1"/>
    <col min="4" max="4" width="7.140625" style="0" customWidth="1"/>
    <col min="5" max="5" width="9.00390625" style="0" customWidth="1"/>
    <col min="6" max="6" width="11.7109375" style="0" bestFit="1" customWidth="1"/>
  </cols>
  <sheetData>
    <row r="5" spans="1:2" ht="12.75">
      <c r="A5">
        <v>61.4</v>
      </c>
      <c r="B5" t="s">
        <v>56</v>
      </c>
    </row>
    <row r="10" spans="1:5" ht="12.75">
      <c r="A10" t="s">
        <v>47</v>
      </c>
      <c r="B10" t="s">
        <v>48</v>
      </c>
      <c r="C10" t="s">
        <v>49</v>
      </c>
      <c r="D10" t="s">
        <v>50</v>
      </c>
      <c r="E10">
        <v>2011</v>
      </c>
    </row>
    <row r="11" spans="1:4" ht="12.75">
      <c r="A11" t="s">
        <v>51</v>
      </c>
      <c r="D11" t="s">
        <v>52</v>
      </c>
    </row>
    <row r="12" spans="1:6" ht="12.75">
      <c r="A12" t="s">
        <v>53</v>
      </c>
      <c r="B12" t="s">
        <v>54</v>
      </c>
      <c r="C12" t="s">
        <v>55</v>
      </c>
      <c r="D12" t="s">
        <v>53</v>
      </c>
      <c r="E12" t="s">
        <v>54</v>
      </c>
      <c r="F12" t="s">
        <v>55</v>
      </c>
    </row>
    <row r="13" spans="1:6" ht="12.75">
      <c r="A13">
        <v>100</v>
      </c>
      <c r="B13">
        <v>75</v>
      </c>
      <c r="C13">
        <v>102</v>
      </c>
      <c r="D13">
        <v>100</v>
      </c>
      <c r="E13">
        <v>75</v>
      </c>
      <c r="F13">
        <v>102</v>
      </c>
    </row>
    <row r="14" spans="1:6" ht="12.75">
      <c r="A14">
        <v>101</v>
      </c>
      <c r="B14">
        <v>78</v>
      </c>
      <c r="C14">
        <v>107</v>
      </c>
      <c r="D14">
        <v>101</v>
      </c>
      <c r="E14">
        <v>78</v>
      </c>
      <c r="F14">
        <v>107</v>
      </c>
    </row>
    <row r="15" spans="1:6" ht="12.75">
      <c r="A15">
        <v>102</v>
      </c>
      <c r="B15">
        <v>81</v>
      </c>
      <c r="C15">
        <v>112</v>
      </c>
      <c r="D15">
        <v>102</v>
      </c>
      <c r="E15">
        <v>81</v>
      </c>
      <c r="F15">
        <v>112</v>
      </c>
    </row>
    <row r="16" spans="1:6" ht="12.75">
      <c r="A16">
        <v>103</v>
      </c>
      <c r="B16">
        <v>84</v>
      </c>
      <c r="C16">
        <v>117</v>
      </c>
      <c r="D16">
        <v>103</v>
      </c>
      <c r="E16">
        <v>84</v>
      </c>
      <c r="F16">
        <v>117</v>
      </c>
    </row>
    <row r="17" spans="1:6" ht="12.75">
      <c r="A17">
        <v>104</v>
      </c>
      <c r="B17">
        <v>87</v>
      </c>
      <c r="C17">
        <v>122</v>
      </c>
      <c r="D17">
        <v>104</v>
      </c>
      <c r="E17">
        <v>87</v>
      </c>
      <c r="F17">
        <v>122</v>
      </c>
    </row>
    <row r="18" spans="1:6" ht="12.75">
      <c r="A18">
        <v>105</v>
      </c>
      <c r="B18">
        <v>90</v>
      </c>
      <c r="C18">
        <v>127</v>
      </c>
      <c r="D18">
        <v>105</v>
      </c>
      <c r="E18">
        <v>90</v>
      </c>
      <c r="F18">
        <v>127</v>
      </c>
    </row>
    <row r="19" spans="1:6" ht="12.75">
      <c r="A19">
        <v>106</v>
      </c>
      <c r="B19">
        <v>93</v>
      </c>
      <c r="C19">
        <v>132</v>
      </c>
      <c r="D19">
        <v>106</v>
      </c>
      <c r="E19">
        <v>93</v>
      </c>
      <c r="F19">
        <v>132</v>
      </c>
    </row>
    <row r="20" spans="1:6" ht="12.75">
      <c r="A20">
        <v>107</v>
      </c>
      <c r="B20">
        <v>96</v>
      </c>
      <c r="C20">
        <v>137</v>
      </c>
      <c r="D20">
        <v>107</v>
      </c>
      <c r="E20">
        <v>96</v>
      </c>
      <c r="F20">
        <v>137</v>
      </c>
    </row>
    <row r="21" spans="1:6" ht="12.75">
      <c r="A21">
        <v>108</v>
      </c>
      <c r="B21">
        <v>99</v>
      </c>
      <c r="C21">
        <v>142</v>
      </c>
      <c r="D21">
        <v>108</v>
      </c>
      <c r="E21">
        <v>99</v>
      </c>
      <c r="F21">
        <v>142</v>
      </c>
    </row>
    <row r="22" spans="1:6" ht="12.75">
      <c r="A22">
        <v>109</v>
      </c>
      <c r="B22">
        <v>102</v>
      </c>
      <c r="C22">
        <v>147</v>
      </c>
      <c r="D22">
        <v>109</v>
      </c>
      <c r="E22">
        <v>102</v>
      </c>
      <c r="F22">
        <v>147</v>
      </c>
    </row>
    <row r="23" spans="1:6" ht="12.75">
      <c r="A23">
        <v>110</v>
      </c>
      <c r="B23">
        <v>105</v>
      </c>
      <c r="C23">
        <v>152</v>
      </c>
      <c r="D23">
        <v>110</v>
      </c>
      <c r="E23">
        <v>105</v>
      </c>
      <c r="F23">
        <v>152</v>
      </c>
    </row>
    <row r="24" spans="1:6" ht="12.75">
      <c r="A24">
        <v>111</v>
      </c>
      <c r="B24">
        <v>108</v>
      </c>
      <c r="C24">
        <v>157</v>
      </c>
      <c r="D24">
        <v>111</v>
      </c>
      <c r="E24">
        <v>108</v>
      </c>
      <c r="F24">
        <v>157</v>
      </c>
    </row>
    <row r="25" spans="1:6" ht="12.75">
      <c r="A25">
        <v>112</v>
      </c>
      <c r="B25">
        <v>111</v>
      </c>
      <c r="C25">
        <v>162</v>
      </c>
      <c r="D25">
        <v>112</v>
      </c>
      <c r="E25">
        <v>111</v>
      </c>
      <c r="F25">
        <v>162</v>
      </c>
    </row>
    <row r="26" spans="1:6" ht="12.75">
      <c r="A26">
        <v>113</v>
      </c>
      <c r="B26">
        <v>114</v>
      </c>
      <c r="C26">
        <v>167</v>
      </c>
      <c r="D26">
        <v>113</v>
      </c>
      <c r="E26">
        <v>114</v>
      </c>
      <c r="F26">
        <v>167</v>
      </c>
    </row>
    <row r="27" spans="1:6" ht="12.75">
      <c r="A27">
        <v>114</v>
      </c>
      <c r="B27">
        <v>117</v>
      </c>
      <c r="C27">
        <v>172</v>
      </c>
      <c r="D27">
        <v>114</v>
      </c>
      <c r="E27">
        <v>117</v>
      </c>
      <c r="F27">
        <v>172</v>
      </c>
    </row>
    <row r="28" spans="1:6" ht="12.75">
      <c r="A28">
        <v>115</v>
      </c>
      <c r="B28">
        <v>120</v>
      </c>
      <c r="C28">
        <v>177</v>
      </c>
      <c r="D28">
        <v>115</v>
      </c>
      <c r="E28">
        <v>120</v>
      </c>
      <c r="F28">
        <v>177</v>
      </c>
    </row>
    <row r="29" spans="1:6" ht="12.75">
      <c r="A29">
        <v>116</v>
      </c>
      <c r="B29">
        <v>123</v>
      </c>
      <c r="C29">
        <v>182</v>
      </c>
      <c r="D29">
        <v>116</v>
      </c>
      <c r="E29">
        <v>123</v>
      </c>
      <c r="F29">
        <v>182</v>
      </c>
    </row>
    <row r="30" spans="1:6" ht="12.75">
      <c r="A30">
        <v>117</v>
      </c>
      <c r="B30">
        <v>126</v>
      </c>
      <c r="C30">
        <v>187</v>
      </c>
      <c r="D30">
        <v>117</v>
      </c>
      <c r="E30">
        <v>126</v>
      </c>
      <c r="F30">
        <v>187</v>
      </c>
    </row>
    <row r="31" spans="1:6" ht="12.75">
      <c r="A31">
        <v>118</v>
      </c>
      <c r="B31">
        <v>129</v>
      </c>
      <c r="C31">
        <v>192</v>
      </c>
      <c r="D31">
        <v>118</v>
      </c>
      <c r="E31">
        <v>129</v>
      </c>
      <c r="F31">
        <v>192</v>
      </c>
    </row>
    <row r="32" spans="1:6" ht="12.75">
      <c r="A32">
        <v>119</v>
      </c>
      <c r="B32">
        <v>132</v>
      </c>
      <c r="C32">
        <v>197</v>
      </c>
      <c r="D32">
        <v>119</v>
      </c>
      <c r="E32">
        <v>132</v>
      </c>
      <c r="F32">
        <v>197</v>
      </c>
    </row>
    <row r="33" spans="1:6" ht="12.75">
      <c r="A33">
        <v>120</v>
      </c>
      <c r="B33">
        <v>135</v>
      </c>
      <c r="C33">
        <v>202</v>
      </c>
      <c r="D33">
        <v>120</v>
      </c>
      <c r="E33">
        <v>135</v>
      </c>
      <c r="F33">
        <v>202</v>
      </c>
    </row>
    <row r="34" spans="1:6" ht="12.75">
      <c r="A34">
        <v>121</v>
      </c>
      <c r="B34">
        <v>138</v>
      </c>
      <c r="C34">
        <v>207</v>
      </c>
      <c r="D34">
        <v>121</v>
      </c>
      <c r="E34">
        <v>138</v>
      </c>
      <c r="F34">
        <v>207</v>
      </c>
    </row>
    <row r="35" spans="1:6" ht="12.75">
      <c r="A35">
        <v>122</v>
      </c>
      <c r="B35">
        <v>141</v>
      </c>
      <c r="C35">
        <v>212</v>
      </c>
      <c r="D35">
        <v>122</v>
      </c>
      <c r="E35">
        <v>141</v>
      </c>
      <c r="F35">
        <v>212</v>
      </c>
    </row>
    <row r="36" spans="1:6" ht="12.75">
      <c r="A36">
        <v>123</v>
      </c>
      <c r="B36">
        <v>144</v>
      </c>
      <c r="C36">
        <v>217</v>
      </c>
      <c r="D36">
        <v>123</v>
      </c>
      <c r="E36">
        <v>144</v>
      </c>
      <c r="F36">
        <v>217</v>
      </c>
    </row>
    <row r="37" spans="1:6" ht="12.75">
      <c r="A37">
        <v>124</v>
      </c>
      <c r="B37">
        <v>147</v>
      </c>
      <c r="C37">
        <v>222</v>
      </c>
      <c r="D37">
        <v>124</v>
      </c>
      <c r="E37">
        <v>147</v>
      </c>
      <c r="F37">
        <v>222</v>
      </c>
    </row>
    <row r="38" spans="1:6" ht="12.75">
      <c r="A38">
        <v>125</v>
      </c>
      <c r="B38">
        <v>150</v>
      </c>
      <c r="C38">
        <v>227</v>
      </c>
      <c r="D38">
        <v>125</v>
      </c>
      <c r="E38">
        <v>150</v>
      </c>
      <c r="F38">
        <v>227</v>
      </c>
    </row>
    <row r="39" spans="1:6" ht="12.75">
      <c r="A39">
        <v>126</v>
      </c>
      <c r="B39">
        <v>153</v>
      </c>
      <c r="C39">
        <v>232</v>
      </c>
      <c r="D39">
        <v>126</v>
      </c>
      <c r="E39">
        <v>153</v>
      </c>
      <c r="F39">
        <v>232</v>
      </c>
    </row>
    <row r="40" spans="1:6" ht="12.75">
      <c r="A40">
        <v>127</v>
      </c>
      <c r="B40">
        <v>156</v>
      </c>
      <c r="C40">
        <v>237</v>
      </c>
      <c r="D40">
        <v>127</v>
      </c>
      <c r="E40">
        <v>156</v>
      </c>
      <c r="F40">
        <v>237</v>
      </c>
    </row>
    <row r="41" spans="1:6" ht="12.75">
      <c r="A41">
        <v>128</v>
      </c>
      <c r="B41">
        <v>159</v>
      </c>
      <c r="C41">
        <v>242</v>
      </c>
      <c r="D41">
        <v>128</v>
      </c>
      <c r="E41">
        <v>159</v>
      </c>
      <c r="F41">
        <v>242</v>
      </c>
    </row>
    <row r="42" spans="1:6" ht="12.75">
      <c r="A42">
        <v>129</v>
      </c>
      <c r="B42">
        <v>162</v>
      </c>
      <c r="C42">
        <v>247</v>
      </c>
      <c r="D42">
        <v>129</v>
      </c>
      <c r="E42">
        <v>162</v>
      </c>
      <c r="F42">
        <v>357</v>
      </c>
    </row>
    <row r="43" spans="1:6" ht="12.75">
      <c r="A43">
        <v>130</v>
      </c>
      <c r="B43">
        <v>165</v>
      </c>
      <c r="C43">
        <v>252</v>
      </c>
      <c r="D43">
        <v>130</v>
      </c>
      <c r="E43">
        <v>165</v>
      </c>
      <c r="F43">
        <v>362</v>
      </c>
    </row>
    <row r="44" spans="1:6" ht="12.75">
      <c r="A44">
        <v>131</v>
      </c>
      <c r="B44">
        <v>168</v>
      </c>
      <c r="C44">
        <v>367</v>
      </c>
      <c r="D44">
        <v>131</v>
      </c>
      <c r="E44">
        <v>168</v>
      </c>
      <c r="F44">
        <v>367</v>
      </c>
    </row>
    <row r="45" spans="1:6" ht="12.75">
      <c r="A45">
        <v>132</v>
      </c>
      <c r="B45">
        <v>171</v>
      </c>
      <c r="C45">
        <v>372</v>
      </c>
      <c r="D45">
        <v>132</v>
      </c>
      <c r="E45">
        <v>171</v>
      </c>
      <c r="F45">
        <v>372</v>
      </c>
    </row>
    <row r="46" spans="1:6" ht="12.75">
      <c r="A46">
        <v>133</v>
      </c>
      <c r="B46">
        <v>174</v>
      </c>
      <c r="C46">
        <v>377</v>
      </c>
      <c r="D46">
        <v>133</v>
      </c>
      <c r="E46">
        <v>174</v>
      </c>
      <c r="F46">
        <v>377</v>
      </c>
    </row>
    <row r="47" spans="1:6" ht="12.75">
      <c r="A47">
        <v>134</v>
      </c>
      <c r="B47">
        <v>177</v>
      </c>
      <c r="C47">
        <v>382</v>
      </c>
      <c r="D47">
        <v>134</v>
      </c>
      <c r="E47">
        <v>177</v>
      </c>
      <c r="F47">
        <v>382</v>
      </c>
    </row>
    <row r="48" spans="1:6" ht="12.75">
      <c r="A48">
        <v>135</v>
      </c>
      <c r="B48">
        <v>180</v>
      </c>
      <c r="C48">
        <v>387</v>
      </c>
      <c r="D48">
        <v>135</v>
      </c>
      <c r="E48">
        <v>180</v>
      </c>
      <c r="F48">
        <v>387</v>
      </c>
    </row>
    <row r="49" spans="1:6" ht="12.75">
      <c r="A49">
        <v>136</v>
      </c>
      <c r="B49">
        <v>183</v>
      </c>
      <c r="C49">
        <v>392</v>
      </c>
      <c r="D49">
        <v>136</v>
      </c>
      <c r="E49">
        <v>183</v>
      </c>
      <c r="F49">
        <v>392</v>
      </c>
    </row>
    <row r="50" spans="1:6" ht="12.75">
      <c r="A50">
        <v>137</v>
      </c>
      <c r="B50">
        <v>186</v>
      </c>
      <c r="C50">
        <v>397</v>
      </c>
      <c r="D50">
        <v>137</v>
      </c>
      <c r="E50">
        <v>186</v>
      </c>
      <c r="F50">
        <v>397</v>
      </c>
    </row>
    <row r="51" spans="1:6" ht="12.75">
      <c r="A51">
        <v>138</v>
      </c>
      <c r="B51">
        <v>189</v>
      </c>
      <c r="C51">
        <v>402</v>
      </c>
      <c r="D51">
        <v>138</v>
      </c>
      <c r="E51">
        <v>189</v>
      </c>
      <c r="F51">
        <v>402</v>
      </c>
    </row>
    <row r="52" spans="1:6" ht="12.75">
      <c r="A52">
        <v>139</v>
      </c>
      <c r="B52">
        <v>192</v>
      </c>
      <c r="C52">
        <v>407</v>
      </c>
      <c r="D52">
        <v>139</v>
      </c>
      <c r="E52">
        <v>192</v>
      </c>
      <c r="F52">
        <v>407</v>
      </c>
    </row>
    <row r="53" spans="1:6" ht="12.75">
      <c r="A53">
        <v>140</v>
      </c>
      <c r="B53">
        <v>195</v>
      </c>
      <c r="C53">
        <v>412</v>
      </c>
      <c r="D53">
        <v>140</v>
      </c>
      <c r="E53">
        <v>195</v>
      </c>
      <c r="F53">
        <v>412</v>
      </c>
    </row>
    <row r="54" spans="1:6" ht="12.75">
      <c r="A54">
        <v>141</v>
      </c>
      <c r="B54">
        <v>198</v>
      </c>
      <c r="C54">
        <v>417</v>
      </c>
      <c r="D54">
        <v>141</v>
      </c>
      <c r="E54">
        <v>198</v>
      </c>
      <c r="F54">
        <v>417</v>
      </c>
    </row>
    <row r="55" spans="1:6" ht="12.75">
      <c r="A55">
        <v>142</v>
      </c>
      <c r="B55">
        <v>201</v>
      </c>
      <c r="C55">
        <v>422</v>
      </c>
      <c r="D55">
        <v>142</v>
      </c>
      <c r="E55">
        <v>201</v>
      </c>
      <c r="F55">
        <v>422</v>
      </c>
    </row>
    <row r="56" spans="1:6" ht="12.75">
      <c r="A56">
        <v>143</v>
      </c>
      <c r="B56">
        <v>204</v>
      </c>
      <c r="C56">
        <v>427</v>
      </c>
      <c r="D56">
        <v>143</v>
      </c>
      <c r="E56">
        <v>204</v>
      </c>
      <c r="F56">
        <v>427</v>
      </c>
    </row>
    <row r="57" spans="1:6" ht="12.75">
      <c r="A57">
        <v>144</v>
      </c>
      <c r="B57">
        <v>207</v>
      </c>
      <c r="C57">
        <v>432</v>
      </c>
      <c r="D57">
        <v>144</v>
      </c>
      <c r="E57">
        <v>207</v>
      </c>
      <c r="F57">
        <v>432</v>
      </c>
    </row>
    <row r="58" spans="1:6" ht="12.75">
      <c r="A58">
        <v>145</v>
      </c>
      <c r="B58">
        <v>210</v>
      </c>
      <c r="C58">
        <v>437</v>
      </c>
      <c r="D58">
        <v>145</v>
      </c>
      <c r="E58">
        <v>210</v>
      </c>
      <c r="F58">
        <v>437</v>
      </c>
    </row>
    <row r="59" spans="1:6" ht="12.75">
      <c r="A59">
        <v>146</v>
      </c>
      <c r="B59">
        <v>213</v>
      </c>
      <c r="C59">
        <v>442</v>
      </c>
      <c r="D59">
        <v>146</v>
      </c>
      <c r="E59">
        <v>213</v>
      </c>
      <c r="F59">
        <v>442</v>
      </c>
    </row>
    <row r="60" spans="1:6" ht="12.75">
      <c r="A60">
        <v>147</v>
      </c>
      <c r="B60">
        <v>216</v>
      </c>
      <c r="C60">
        <v>447</v>
      </c>
      <c r="D60">
        <v>147</v>
      </c>
      <c r="E60">
        <v>216</v>
      </c>
      <c r="F60">
        <v>447</v>
      </c>
    </row>
    <row r="61" spans="1:6" ht="12.75">
      <c r="A61">
        <v>148</v>
      </c>
      <c r="B61">
        <v>219</v>
      </c>
      <c r="C61">
        <v>452</v>
      </c>
      <c r="D61">
        <v>148</v>
      </c>
      <c r="E61">
        <v>219</v>
      </c>
      <c r="F61">
        <v>452</v>
      </c>
    </row>
    <row r="62" spans="1:6" ht="12.75">
      <c r="A62">
        <v>149</v>
      </c>
      <c r="B62">
        <v>222</v>
      </c>
      <c r="C62">
        <v>457</v>
      </c>
      <c r="D62">
        <v>149</v>
      </c>
      <c r="E62">
        <v>222</v>
      </c>
      <c r="F62">
        <v>457</v>
      </c>
    </row>
    <row r="63" spans="1:6" ht="12.75">
      <c r="A63">
        <v>150</v>
      </c>
      <c r="B63">
        <v>225</v>
      </c>
      <c r="C63">
        <v>462</v>
      </c>
      <c r="D63">
        <v>150</v>
      </c>
      <c r="E63">
        <v>225</v>
      </c>
      <c r="F63">
        <v>462</v>
      </c>
    </row>
    <row r="64" spans="1:6" ht="12.75">
      <c r="A64">
        <v>151</v>
      </c>
      <c r="B64">
        <v>228</v>
      </c>
      <c r="C64">
        <v>467</v>
      </c>
      <c r="D64">
        <v>151</v>
      </c>
      <c r="E64">
        <v>228</v>
      </c>
      <c r="F64">
        <v>467</v>
      </c>
    </row>
    <row r="65" spans="1:6" ht="12.75">
      <c r="A65">
        <v>152</v>
      </c>
      <c r="B65">
        <v>231</v>
      </c>
      <c r="C65">
        <v>472</v>
      </c>
      <c r="D65">
        <v>152</v>
      </c>
      <c r="E65">
        <v>231</v>
      </c>
      <c r="F65">
        <v>472</v>
      </c>
    </row>
    <row r="66" spans="1:6" ht="12.75">
      <c r="A66">
        <v>153</v>
      </c>
      <c r="B66">
        <v>234</v>
      </c>
      <c r="C66">
        <v>477</v>
      </c>
      <c r="D66">
        <v>153</v>
      </c>
      <c r="E66">
        <v>234</v>
      </c>
      <c r="F66">
        <v>477</v>
      </c>
    </row>
    <row r="67" spans="1:6" ht="12.75">
      <c r="A67">
        <v>154</v>
      </c>
      <c r="B67">
        <v>237</v>
      </c>
      <c r="C67">
        <v>482</v>
      </c>
      <c r="D67">
        <v>154</v>
      </c>
      <c r="E67">
        <v>237</v>
      </c>
      <c r="F67">
        <v>482</v>
      </c>
    </row>
    <row r="68" spans="1:6" ht="12.75">
      <c r="A68">
        <v>155</v>
      </c>
      <c r="B68">
        <v>240</v>
      </c>
      <c r="C68">
        <v>487</v>
      </c>
      <c r="D68">
        <v>155</v>
      </c>
      <c r="E68">
        <v>240</v>
      </c>
      <c r="F68">
        <v>487</v>
      </c>
    </row>
    <row r="69" spans="1:6" ht="12.75">
      <c r="A69">
        <v>156</v>
      </c>
      <c r="B69">
        <v>243</v>
      </c>
      <c r="C69">
        <v>492</v>
      </c>
      <c r="D69">
        <v>156</v>
      </c>
      <c r="E69">
        <v>243</v>
      </c>
      <c r="F69">
        <v>492</v>
      </c>
    </row>
    <row r="70" spans="1:6" ht="12.75">
      <c r="A70">
        <v>157</v>
      </c>
      <c r="B70">
        <v>246</v>
      </c>
      <c r="C70">
        <v>497</v>
      </c>
      <c r="D70">
        <v>157</v>
      </c>
      <c r="E70">
        <v>246</v>
      </c>
      <c r="F70">
        <v>497</v>
      </c>
    </row>
    <row r="71" spans="1:6" ht="12.75">
      <c r="A71">
        <v>158</v>
      </c>
      <c r="B71">
        <v>249</v>
      </c>
      <c r="C71">
        <v>502</v>
      </c>
      <c r="D71">
        <v>158</v>
      </c>
      <c r="E71">
        <v>249</v>
      </c>
      <c r="F71">
        <v>502</v>
      </c>
    </row>
    <row r="72" spans="1:6" ht="12.75">
      <c r="A72">
        <v>159</v>
      </c>
      <c r="B72">
        <v>252</v>
      </c>
      <c r="C72">
        <v>507</v>
      </c>
      <c r="D72">
        <v>159</v>
      </c>
      <c r="E72">
        <v>252</v>
      </c>
      <c r="F72">
        <v>507</v>
      </c>
    </row>
    <row r="73" spans="1:6" ht="12.75">
      <c r="A73">
        <v>160</v>
      </c>
      <c r="B73">
        <v>255</v>
      </c>
      <c r="C73">
        <v>512</v>
      </c>
      <c r="D73">
        <v>160</v>
      </c>
      <c r="E73">
        <v>255</v>
      </c>
      <c r="F73">
        <v>512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91">
      <selection activeCell="G134" sqref="G134"/>
    </sheetView>
  </sheetViews>
  <sheetFormatPr defaultColWidth="9.140625" defaultRowHeight="12.75"/>
  <cols>
    <col min="1" max="1" width="60.57421875" style="1" customWidth="1"/>
    <col min="2" max="5" width="15.7109375" style="0" customWidth="1"/>
    <col min="6" max="7" width="18.28125" style="0" customWidth="1"/>
  </cols>
  <sheetData>
    <row r="1" ht="12.75">
      <c r="A1" s="7" t="s">
        <v>41</v>
      </c>
    </row>
    <row r="2" spans="1:6" ht="12.75">
      <c r="A2" s="7" t="s">
        <v>20</v>
      </c>
      <c r="E2" s="1" t="s">
        <v>182</v>
      </c>
      <c r="F2" s="135">
        <f>MAX(Versionslog!A6:A24)</f>
        <v>41656</v>
      </c>
    </row>
    <row r="3" ht="12.75"/>
    <row r="4" ht="12.75">
      <c r="A4" s="7" t="s">
        <v>4</v>
      </c>
    </row>
    <row r="5" spans="1:3" ht="12.75">
      <c r="A5" s="15" t="s">
        <v>98</v>
      </c>
      <c r="B5" s="60">
        <v>500</v>
      </c>
      <c r="C5" t="s">
        <v>38</v>
      </c>
    </row>
    <row r="6" spans="1:2" ht="12.75">
      <c r="A6" s="15" t="s">
        <v>61</v>
      </c>
      <c r="B6" s="63">
        <v>0.22</v>
      </c>
    </row>
    <row r="7" spans="1:2" ht="12.75">
      <c r="A7" s="15" t="s">
        <v>0</v>
      </c>
      <c r="B7" s="64">
        <v>2.3</v>
      </c>
    </row>
    <row r="8" spans="1:2" ht="12.75">
      <c r="A8" s="15" t="s">
        <v>24</v>
      </c>
      <c r="B8" s="64">
        <f>(B7*2)/0.88</f>
        <v>5.227272727272727</v>
      </c>
    </row>
    <row r="9" spans="1:2" ht="12.75">
      <c r="A9" s="15" t="s">
        <v>130</v>
      </c>
      <c r="B9" s="64">
        <v>28.5</v>
      </c>
    </row>
    <row r="10" spans="1:2" ht="12.75">
      <c r="A10" s="15" t="s">
        <v>112</v>
      </c>
      <c r="B10" s="65">
        <f>B9*0.98*0.98</f>
        <v>27.371399999999998</v>
      </c>
    </row>
    <row r="11" ht="12.75"/>
    <row r="12" spans="1:3" ht="12.75">
      <c r="A12" s="17" t="s">
        <v>62</v>
      </c>
      <c r="B12" s="66">
        <f>B7/(1/B6)</f>
        <v>0.5059999999999999</v>
      </c>
      <c r="C12" t="s">
        <v>38</v>
      </c>
    </row>
    <row r="13" spans="1:6" ht="12.75">
      <c r="A13" s="17" t="s">
        <v>63</v>
      </c>
      <c r="B13" s="67">
        <v>0.95</v>
      </c>
      <c r="C13" t="s">
        <v>74</v>
      </c>
      <c r="E13" s="149" t="s">
        <v>169</v>
      </c>
      <c r="F13" s="150"/>
    </row>
    <row r="14" spans="1:6" ht="12.75">
      <c r="A14" s="17" t="s">
        <v>76</v>
      </c>
      <c r="B14" s="33">
        <f>B5*(B12/B13)</f>
        <v>266.31578947368416</v>
      </c>
      <c r="E14" s="150"/>
      <c r="F14" s="150"/>
    </row>
    <row r="15" spans="1:6" ht="12.75">
      <c r="A15" s="15" t="s">
        <v>75</v>
      </c>
      <c r="B15" s="68">
        <v>2.04</v>
      </c>
      <c r="C15" t="s">
        <v>74</v>
      </c>
      <c r="E15" s="150"/>
      <c r="F15" s="150"/>
    </row>
    <row r="16" spans="1:6" ht="12.75">
      <c r="A16" s="15" t="s">
        <v>120</v>
      </c>
      <c r="B16" s="68">
        <v>1.33</v>
      </c>
      <c r="C16" t="s">
        <v>74</v>
      </c>
      <c r="E16" s="150"/>
      <c r="F16" s="150"/>
    </row>
    <row r="17" spans="1:6" ht="12.75">
      <c r="A17" s="15" t="s">
        <v>77</v>
      </c>
      <c r="B17" s="68">
        <f>(1/0.9)</f>
        <v>1.1111111111111112</v>
      </c>
      <c r="C17" t="s">
        <v>74</v>
      </c>
      <c r="E17" s="150"/>
      <c r="F17" s="150"/>
    </row>
    <row r="18" ht="12.75">
      <c r="A18" s="1" t="s">
        <v>38</v>
      </c>
    </row>
    <row r="19" spans="1:2" ht="12.75">
      <c r="A19" s="16" t="s">
        <v>40</v>
      </c>
      <c r="B19" s="69">
        <v>0.04</v>
      </c>
    </row>
    <row r="20" spans="1:3" ht="12.75">
      <c r="A20" s="15" t="s">
        <v>79</v>
      </c>
      <c r="B20" s="50">
        <f>(B14*B15/0.5)/(MIN(B167:B172)*(1-B19))</f>
        <v>91.27758913412563</v>
      </c>
      <c r="C20" t="s">
        <v>38</v>
      </c>
    </row>
    <row r="21" spans="1:3" ht="12.75">
      <c r="A21" s="15" t="s">
        <v>84</v>
      </c>
      <c r="B21" s="67">
        <v>0.2</v>
      </c>
      <c r="C21" t="s">
        <v>38</v>
      </c>
    </row>
    <row r="22" spans="1:3" ht="12.75">
      <c r="A22" s="15" t="s">
        <v>83</v>
      </c>
      <c r="B22" s="70">
        <f>(B20*(1+B21))/B7</f>
        <v>47.623089983022076</v>
      </c>
      <c r="C22" t="s">
        <v>38</v>
      </c>
    </row>
    <row r="23" spans="1:2" ht="12.75">
      <c r="A23" s="15" t="s">
        <v>85</v>
      </c>
      <c r="B23" s="71">
        <f>B22/B5</f>
        <v>0.09524617996604415</v>
      </c>
    </row>
    <row r="24" ht="12.75">
      <c r="A24"/>
    </row>
    <row r="25" ht="12.75">
      <c r="A25"/>
    </row>
    <row r="26" ht="12.75">
      <c r="A26" s="7" t="s">
        <v>127</v>
      </c>
    </row>
    <row r="27" spans="1:2" ht="12.75">
      <c r="A27" s="1" t="s">
        <v>170</v>
      </c>
      <c r="B27" s="17">
        <v>10.5</v>
      </c>
    </row>
    <row r="28" spans="1:2" ht="12.75">
      <c r="A28" s="1" t="s">
        <v>66</v>
      </c>
      <c r="B28" s="75">
        <v>11.7</v>
      </c>
    </row>
    <row r="29" spans="1:2" ht="12.75">
      <c r="A29" s="1" t="s">
        <v>111</v>
      </c>
      <c r="B29" s="76" t="s">
        <v>64</v>
      </c>
    </row>
    <row r="30" ht="12.75">
      <c r="A30" s="7" t="s">
        <v>128</v>
      </c>
    </row>
    <row r="31" spans="1:5" ht="12.75">
      <c r="A31" s="15" t="s">
        <v>7</v>
      </c>
      <c r="B31" s="17" t="s">
        <v>64</v>
      </c>
      <c r="C31" s="17" t="s">
        <v>78</v>
      </c>
      <c r="D31" s="17" t="s">
        <v>65</v>
      </c>
      <c r="E31" s="17" t="s">
        <v>81</v>
      </c>
    </row>
    <row r="32" spans="1:5" ht="12.75">
      <c r="A32" s="15" t="s">
        <v>26</v>
      </c>
      <c r="B32" s="52">
        <v>1873</v>
      </c>
      <c r="C32" s="53">
        <f>B32-B$35</f>
        <v>225</v>
      </c>
      <c r="D32" s="54">
        <f>125.42*B$28+331.23+(B32-B$35)</f>
        <v>2023.644</v>
      </c>
      <c r="E32" s="134">
        <f>IF(B$29="Aktuel",B32,D32)</f>
        <v>1873</v>
      </c>
    </row>
    <row r="33" spans="1:5" ht="12.75">
      <c r="A33" s="15" t="s">
        <v>27</v>
      </c>
      <c r="B33" s="52">
        <v>1748</v>
      </c>
      <c r="C33" s="53">
        <f>B33-B$35</f>
        <v>100</v>
      </c>
      <c r="D33" s="54">
        <f>125.42*B$28+331.23+(B33-B$35)</f>
        <v>1898.644</v>
      </c>
      <c r="E33" s="134">
        <f>IF(B$29="Aktuel",B33,D33)</f>
        <v>1748</v>
      </c>
    </row>
    <row r="34" spans="1:5" ht="12.75">
      <c r="A34" s="15" t="s">
        <v>28</v>
      </c>
      <c r="B34" s="52">
        <v>1673</v>
      </c>
      <c r="C34" s="53">
        <f>B34-B$35</f>
        <v>25</v>
      </c>
      <c r="D34" s="54">
        <f>125.42*B$28+331.23+(B34-B$35)</f>
        <v>1823.644</v>
      </c>
      <c r="E34" s="134">
        <f>IF(B$29="Aktuel",B34,D34)</f>
        <v>1673</v>
      </c>
    </row>
    <row r="35" spans="1:6" ht="12.75">
      <c r="A35" s="15" t="s">
        <v>29</v>
      </c>
      <c r="B35" s="52">
        <v>1648</v>
      </c>
      <c r="C35" s="53">
        <f>B35-B$35</f>
        <v>0</v>
      </c>
      <c r="D35" s="54">
        <f>125.42*B$28+331.23+(B35-B$35)</f>
        <v>1798.644</v>
      </c>
      <c r="E35" s="134">
        <f>IF(B$29="Aktuel",B35,D35)</f>
        <v>1648</v>
      </c>
      <c r="F35" t="s">
        <v>38</v>
      </c>
    </row>
    <row r="36" spans="2:5" ht="12.75">
      <c r="B36" s="27"/>
      <c r="C36" s="27"/>
      <c r="D36" s="25"/>
      <c r="E36" s="1"/>
    </row>
    <row r="37" spans="1:5" ht="12.75">
      <c r="A37" s="7" t="s">
        <v>129</v>
      </c>
      <c r="C37" s="1"/>
      <c r="D37" s="1"/>
      <c r="E37" s="1"/>
    </row>
    <row r="38" spans="1:5" ht="12.75">
      <c r="A38" s="15" t="s">
        <v>14</v>
      </c>
      <c r="B38" s="60">
        <v>90</v>
      </c>
      <c r="C38" s="25"/>
      <c r="D38" s="1"/>
      <c r="E38" s="1"/>
    </row>
    <row r="39" spans="1:5" ht="12.75">
      <c r="A39" s="15" t="s">
        <v>6</v>
      </c>
      <c r="B39" s="60">
        <v>0</v>
      </c>
      <c r="C39" s="1"/>
      <c r="D39" s="1"/>
      <c r="E39" s="1"/>
    </row>
    <row r="40" spans="1:5" ht="12.75">
      <c r="A40" s="15" t="s">
        <v>18</v>
      </c>
      <c r="B40" s="60">
        <v>0</v>
      </c>
      <c r="C40" s="1"/>
      <c r="D40" s="1"/>
      <c r="E40" s="1"/>
    </row>
    <row r="41" spans="1:2" ht="12.75">
      <c r="A41" s="15" t="s">
        <v>99</v>
      </c>
      <c r="B41" s="60">
        <v>90</v>
      </c>
    </row>
    <row r="42" spans="1:2" ht="12.75">
      <c r="A42" s="15" t="s">
        <v>100</v>
      </c>
      <c r="B42" s="17">
        <f>SUM(B38:B41)</f>
        <v>180</v>
      </c>
    </row>
    <row r="43" ht="12.75"/>
    <row r="44" spans="1:4" ht="12.75">
      <c r="A44" s="7" t="s">
        <v>71</v>
      </c>
      <c r="B44" t="s">
        <v>53</v>
      </c>
      <c r="C44" t="s">
        <v>80</v>
      </c>
      <c r="D44" t="s">
        <v>38</v>
      </c>
    </row>
    <row r="45" spans="1:4" ht="12.75">
      <c r="A45" s="15" t="str">
        <f>"Topnavnesæd, pris i kr. pr. dose (Y eller L), inkl. genafgift, idx: "&amp;B45</f>
        <v>Topnavnesæd, pris i kr. pr. dose (Y eller L), inkl. genafgift, idx: 140</v>
      </c>
      <c r="B45" s="60">
        <v>140</v>
      </c>
      <c r="C45" s="61">
        <f>5*(B45-114)+106+IF(B45&gt;134,125)+79.91+50</f>
        <v>490.90999999999997</v>
      </c>
      <c r="D45" s="1" t="s">
        <v>72</v>
      </c>
    </row>
    <row r="46" spans="1:4" ht="12.75">
      <c r="A46" s="15" t="str">
        <f>"Navnesæd, pris i kr. pr. dose (Y eller L),inkl. genafgift, idx"&amp;B46</f>
        <v>Navnesæd, pris i kr. pr. dose (Y eller L),inkl. genafgift, idx124</v>
      </c>
      <c r="B46" s="60">
        <v>124</v>
      </c>
      <c r="C46" s="61">
        <f>(B46-114)*3+54+79.91+50</f>
        <v>213.91</v>
      </c>
      <c r="D46" s="1" t="s">
        <v>73</v>
      </c>
    </row>
    <row r="47" spans="1:3" ht="12.75">
      <c r="A47" s="15" t="s">
        <v>82</v>
      </c>
      <c r="B47" s="17"/>
      <c r="C47" s="61">
        <f>(25)+5.45+3.47</f>
        <v>33.92</v>
      </c>
    </row>
    <row r="48" ht="12.75"/>
    <row r="49" ht="12.75"/>
    <row r="50" spans="1:5" ht="63.75">
      <c r="A50" s="29" t="s">
        <v>67</v>
      </c>
      <c r="B50" s="30" t="s">
        <v>97</v>
      </c>
      <c r="C50" s="30" t="s">
        <v>168</v>
      </c>
      <c r="D50" s="30" t="s">
        <v>2</v>
      </c>
      <c r="E50" s="36" t="s">
        <v>93</v>
      </c>
    </row>
    <row r="51" spans="1:5" ht="12.75">
      <c r="A51" s="15" t="s">
        <v>68</v>
      </c>
      <c r="B51" s="32">
        <f aca="true" t="shared" si="0" ref="B51:B56">-(B$158-B167)</f>
        <v>-1.1360000000000028</v>
      </c>
      <c r="C51" s="122">
        <v>0.15</v>
      </c>
      <c r="D51" s="82">
        <v>10</v>
      </c>
      <c r="E51" s="17" t="s">
        <v>94</v>
      </c>
    </row>
    <row r="52" spans="1:5" ht="12.75">
      <c r="A52" s="15" t="s">
        <v>69</v>
      </c>
      <c r="B52" s="32">
        <f t="shared" si="0"/>
        <v>-1.9360000000000017</v>
      </c>
      <c r="C52" s="122">
        <v>0.15</v>
      </c>
      <c r="D52" s="82">
        <v>10</v>
      </c>
      <c r="E52" s="17" t="s">
        <v>95</v>
      </c>
    </row>
    <row r="53" spans="1:5" ht="12.75">
      <c r="A53" s="15" t="s">
        <v>19</v>
      </c>
      <c r="B53" s="32">
        <f t="shared" si="0"/>
        <v>-0.5068800000000007</v>
      </c>
      <c r="C53" s="122">
        <v>0.15</v>
      </c>
      <c r="D53" s="82">
        <v>5</v>
      </c>
      <c r="E53" s="17" t="s">
        <v>19</v>
      </c>
    </row>
    <row r="54" spans="1:5" ht="12.75">
      <c r="A54" s="15" t="s">
        <v>17</v>
      </c>
      <c r="B54" s="32">
        <f t="shared" si="0"/>
        <v>-0.9800000000000004</v>
      </c>
      <c r="C54" s="122">
        <v>0</v>
      </c>
      <c r="D54" s="82">
        <v>15</v>
      </c>
      <c r="E54" s="17" t="s">
        <v>19</v>
      </c>
    </row>
    <row r="55" spans="1:5" ht="12.75">
      <c r="A55" s="15" t="s">
        <v>12</v>
      </c>
      <c r="B55" s="32">
        <f t="shared" si="0"/>
        <v>-0.5560000000000027</v>
      </c>
      <c r="C55" s="122">
        <v>0</v>
      </c>
      <c r="D55" s="82">
        <v>15</v>
      </c>
      <c r="E55" s="17" t="s">
        <v>19</v>
      </c>
    </row>
    <row r="56" spans="1:5" ht="12.75">
      <c r="A56" s="15" t="s">
        <v>13</v>
      </c>
      <c r="B56" s="32">
        <f t="shared" si="0"/>
        <v>-0.7680000000000007</v>
      </c>
      <c r="C56" s="122">
        <v>0</v>
      </c>
      <c r="D56" s="82">
        <v>10</v>
      </c>
      <c r="E56" s="17" t="s">
        <v>19</v>
      </c>
    </row>
    <row r="57" ht="12.75">
      <c r="B57" s="1"/>
    </row>
    <row r="58" ht="12.75">
      <c r="A58" s="7" t="s">
        <v>8</v>
      </c>
    </row>
    <row r="59" spans="1:2" ht="12.75">
      <c r="A59" s="77" t="s">
        <v>23</v>
      </c>
      <c r="B59" s="78">
        <v>7500</v>
      </c>
    </row>
    <row r="60" spans="1:2" ht="12.75">
      <c r="A60" s="79" t="s">
        <v>1</v>
      </c>
      <c r="B60" s="80">
        <v>4.25</v>
      </c>
    </row>
    <row r="61" spans="1:2" ht="12.75">
      <c r="A61" s="79" t="s">
        <v>21</v>
      </c>
      <c r="B61" s="80">
        <v>1</v>
      </c>
    </row>
    <row r="62" spans="1:2" ht="12.75">
      <c r="A62" s="79" t="s">
        <v>22</v>
      </c>
      <c r="B62" s="80">
        <v>180</v>
      </c>
    </row>
    <row r="63" spans="1:3" ht="12.75">
      <c r="A63" s="79" t="s">
        <v>146</v>
      </c>
      <c r="B63" s="80">
        <v>170</v>
      </c>
      <c r="C63" t="s">
        <v>171</v>
      </c>
    </row>
    <row r="64" spans="1:2" ht="12.75">
      <c r="A64" s="79" t="s">
        <v>101</v>
      </c>
      <c r="B64" s="80">
        <v>60</v>
      </c>
    </row>
    <row r="65" spans="1:2" ht="12.75">
      <c r="A65" s="79" t="s">
        <v>172</v>
      </c>
      <c r="B65" s="80">
        <v>82</v>
      </c>
    </row>
    <row r="66" spans="1:2" ht="12.75">
      <c r="A66" s="81" t="s">
        <v>173</v>
      </c>
      <c r="B66" s="80">
        <v>30</v>
      </c>
    </row>
    <row r="67" ht="12.75"/>
    <row r="68" ht="12.75">
      <c r="A68" s="7" t="s">
        <v>158</v>
      </c>
    </row>
    <row r="69" spans="1:2" ht="12.75">
      <c r="A69" s="1" t="s">
        <v>116</v>
      </c>
      <c r="B69" s="23">
        <v>0.05</v>
      </c>
    </row>
    <row r="70" ht="12.75"/>
    <row r="71" spans="1:6" ht="51">
      <c r="A71" s="38" t="s">
        <v>113</v>
      </c>
      <c r="B71" s="39" t="s">
        <v>140</v>
      </c>
      <c r="C71" s="30" t="s">
        <v>117</v>
      </c>
      <c r="D71" s="39" t="s">
        <v>118</v>
      </c>
      <c r="E71" s="39" t="s">
        <v>119</v>
      </c>
      <c r="F71" s="46" t="s">
        <v>121</v>
      </c>
    </row>
    <row r="72" spans="1:6" ht="12.75">
      <c r="A72" s="40" t="s">
        <v>114</v>
      </c>
      <c r="B72" s="62">
        <v>1800</v>
      </c>
      <c r="C72" s="41">
        <f>-((PMT($B$69,25,B72*0.65,0)+PMT($B$69,12.5,B72*0.35,0))+B72*0.35*0.02+B72*0.65*0.006)/52</f>
        <v>2.545869604595929</v>
      </c>
      <c r="D72" s="42">
        <v>0</v>
      </c>
      <c r="E72" s="43">
        <f>8</f>
        <v>8</v>
      </c>
      <c r="F72" s="41">
        <f>C72*D72*E72*Poltekapacitetsgrad_ved_fødsel</f>
        <v>0</v>
      </c>
    </row>
    <row r="73" spans="1:6" ht="12.75">
      <c r="A73" s="40" t="s">
        <v>115</v>
      </c>
      <c r="B73" s="62">
        <v>3300</v>
      </c>
      <c r="C73" s="41">
        <f>-((PMT($B$69,25,B73*0.65,0)+PMT($B$69,12.5,B73*0.35,0))+B73*0.35*0.02+B73*0.65*0.006)/52</f>
        <v>4.667427608425871</v>
      </c>
      <c r="D73" s="44">
        <f>50%</f>
        <v>0.5</v>
      </c>
      <c r="E73" s="45">
        <f>13*1.15</f>
        <v>14.95</v>
      </c>
      <c r="F73" s="41">
        <f>C73*D73*E73*B16</f>
        <v>46.4023984260679</v>
      </c>
    </row>
    <row r="74" ht="12.75">
      <c r="A74"/>
    </row>
    <row r="75" ht="12.75">
      <c r="A75"/>
    </row>
    <row r="76" spans="1:2" ht="12.75">
      <c r="A76" s="1" t="s">
        <v>165</v>
      </c>
      <c r="B76" t="str">
        <f>B29</f>
        <v>Aktuel</v>
      </c>
    </row>
    <row r="77" spans="1:3" ht="12.75">
      <c r="A77" s="49" t="s">
        <v>166</v>
      </c>
      <c r="B77">
        <f>IF(B29="Aktuel",B27,B28)</f>
        <v>10.5</v>
      </c>
      <c r="C77" t="s">
        <v>167</v>
      </c>
    </row>
    <row r="78" spans="3:7" ht="51">
      <c r="C78" s="131" t="s">
        <v>175</v>
      </c>
      <c r="D78" s="131" t="s">
        <v>176</v>
      </c>
      <c r="F78" s="150" t="s">
        <v>177</v>
      </c>
      <c r="G78" s="150"/>
    </row>
    <row r="79" spans="1:7" ht="12.75">
      <c r="A79" s="1" t="s">
        <v>157</v>
      </c>
      <c r="B79" s="26" t="s">
        <v>68</v>
      </c>
      <c r="C79" s="130">
        <f>D115</f>
        <v>1875.0785149709143</v>
      </c>
      <c r="D79" s="130">
        <f>D114</f>
        <v>554847.7944884693</v>
      </c>
      <c r="F79" s="150"/>
      <c r="G79" s="150"/>
    </row>
    <row r="80" spans="1:7" ht="12.75">
      <c r="A80" s="1" t="s">
        <v>179</v>
      </c>
      <c r="B80" s="14" t="s">
        <v>26</v>
      </c>
      <c r="C80" s="130">
        <f>E115</f>
        <v>2352.603305785124</v>
      </c>
      <c r="D80" s="130">
        <f>E114</f>
        <v>696150.4518872938</v>
      </c>
      <c r="F80" s="150"/>
      <c r="G80" s="150"/>
    </row>
    <row r="81" spans="1:7" ht="13.5" thickBot="1">
      <c r="A81" s="58" t="s">
        <v>178</v>
      </c>
      <c r="B81" s="132"/>
      <c r="C81" s="133">
        <f>C80-C79</f>
        <v>477.52479081420984</v>
      </c>
      <c r="D81" s="133">
        <f>D80-D79</f>
        <v>141302.65739882458</v>
      </c>
      <c r="F81" s="150"/>
      <c r="G81" s="150"/>
    </row>
    <row r="82" spans="1:7" ht="12.75">
      <c r="A82" s="1" t="s">
        <v>164</v>
      </c>
      <c r="B82" s="28" t="str">
        <f>VLOOKUP(1,D119:E124,2,FALSE)</f>
        <v>YY</v>
      </c>
      <c r="C82" s="130">
        <f>VLOOKUP(B82,A119:B124,2,FALSE)</f>
        <v>1875.0785149709143</v>
      </c>
      <c r="F82" s="150"/>
      <c r="G82" s="150"/>
    </row>
    <row r="83" spans="2:3" ht="13.5" thickBot="1">
      <c r="B83" s="28"/>
      <c r="C83" s="130"/>
    </row>
    <row r="84" spans="1:7" ht="12.75">
      <c r="A84" s="116"/>
      <c r="B84" s="146" t="s">
        <v>105</v>
      </c>
      <c r="C84" s="147"/>
      <c r="D84" s="148"/>
      <c r="E84" s="100" t="str">
        <f>B80</f>
        <v>Rød-SPF 1; 22 uger</v>
      </c>
      <c r="F84" s="106"/>
      <c r="G84" s="107"/>
    </row>
    <row r="85" spans="1:7" ht="38.25">
      <c r="A85" s="101" t="s">
        <v>86</v>
      </c>
      <c r="B85" s="86" t="s">
        <v>102</v>
      </c>
      <c r="C85" s="30" t="s">
        <v>103</v>
      </c>
      <c r="D85" s="87" t="s">
        <v>104</v>
      </c>
      <c r="E85" s="101" t="s">
        <v>5</v>
      </c>
      <c r="F85" s="108" t="s">
        <v>137</v>
      </c>
      <c r="G85" s="109" t="s">
        <v>174</v>
      </c>
    </row>
    <row r="86" spans="1:7" ht="12.75">
      <c r="A86" s="117" t="s">
        <v>89</v>
      </c>
      <c r="B86" s="88">
        <f>B22</f>
        <v>47.623089983022076</v>
      </c>
      <c r="C86" s="17"/>
      <c r="D86" s="89"/>
      <c r="E86" s="102"/>
      <c r="F86" s="92"/>
      <c r="G86" s="89"/>
    </row>
    <row r="87" spans="1:7" ht="12.75">
      <c r="A87" s="117" t="s">
        <v>123</v>
      </c>
      <c r="B87" s="88">
        <f>Antal_årssøer-B86</f>
        <v>452.37691001697794</v>
      </c>
      <c r="C87" s="17"/>
      <c r="D87" s="89"/>
      <c r="E87" s="102"/>
      <c r="F87" s="92"/>
      <c r="G87" s="89"/>
    </row>
    <row r="88" spans="1:7" ht="12.75">
      <c r="A88" s="117" t="s">
        <v>107</v>
      </c>
      <c r="B88" s="90" t="str">
        <f>B79</f>
        <v>YY</v>
      </c>
      <c r="C88" s="17"/>
      <c r="D88" s="89"/>
      <c r="E88" s="102"/>
      <c r="F88" s="92"/>
      <c r="G88" s="89"/>
    </row>
    <row r="89" spans="1:7" ht="12.75">
      <c r="A89" s="117" t="s">
        <v>90</v>
      </c>
      <c r="B89" s="91" t="str">
        <f>VLOOKUP(B79,A51:F56,5,FALSE)</f>
        <v>LY</v>
      </c>
      <c r="C89" s="17"/>
      <c r="D89" s="89"/>
      <c r="E89" s="102"/>
      <c r="F89" s="92"/>
      <c r="G89" s="89"/>
    </row>
    <row r="90" spans="1:7" ht="12.75">
      <c r="A90" s="117" t="s">
        <v>135</v>
      </c>
      <c r="B90" s="91">
        <f>VLOOKUP(B88,A51:D56,4,FALSE)</f>
        <v>10</v>
      </c>
      <c r="C90" s="17"/>
      <c r="D90" s="89"/>
      <c r="E90" s="102"/>
      <c r="F90" s="92"/>
      <c r="G90" s="89"/>
    </row>
    <row r="91" spans="1:7" ht="12.75">
      <c r="A91" s="117" t="s">
        <v>124</v>
      </c>
      <c r="B91" s="88">
        <f>-(VLOOKUP(B88,A167:C174,3,FALSE)*B86*Kuld_pr._årsso__stk.)*(1-B19)</f>
        <v>119.45242512733475</v>
      </c>
      <c r="C91" s="17"/>
      <c r="D91" s="89"/>
      <c r="E91" s="102"/>
      <c r="F91" s="92"/>
      <c r="G91" s="89"/>
    </row>
    <row r="92" spans="1:7" ht="12.75">
      <c r="A92" s="117" t="s">
        <v>125</v>
      </c>
      <c r="B92" s="88">
        <f>-(VLOOKUP(B89,D167:E174,2,FALSE)*B87*Kuld_pr._årsso__stk.)*(1-B19)</f>
        <v>0</v>
      </c>
      <c r="C92" s="17"/>
      <c r="D92" s="89"/>
      <c r="E92" s="102"/>
      <c r="F92" s="92"/>
      <c r="G92" s="89"/>
    </row>
    <row r="93" spans="1:7" ht="12.75">
      <c r="A93" s="117" t="s">
        <v>132</v>
      </c>
      <c r="B93" s="88">
        <f>Antal_årssøer*B10*B23-B100</f>
        <v>1007.6042124127523</v>
      </c>
      <c r="C93" s="17" t="s">
        <v>38</v>
      </c>
      <c r="D93" s="89"/>
      <c r="E93" s="102"/>
      <c r="F93" s="92"/>
      <c r="G93" s="89"/>
    </row>
    <row r="94" spans="1:7" ht="12.75">
      <c r="A94" s="117" t="s">
        <v>131</v>
      </c>
      <c r="B94" s="88">
        <f>B87*B10</f>
        <v>12382.189354838709</v>
      </c>
      <c r="C94" s="17" t="s">
        <v>38</v>
      </c>
      <c r="D94" s="89"/>
      <c r="E94" s="102"/>
      <c r="F94" s="92"/>
      <c r="G94" s="89"/>
    </row>
    <row r="95" spans="1:7" ht="12.75">
      <c r="A95" s="117"/>
      <c r="B95" s="92"/>
      <c r="C95" s="17"/>
      <c r="D95" s="89"/>
      <c r="E95" s="102"/>
      <c r="F95" s="92"/>
      <c r="G95" s="89"/>
    </row>
    <row r="96" spans="1:7" ht="12.75">
      <c r="A96" s="123" t="s">
        <v>153</v>
      </c>
      <c r="B96" s="114">
        <f>SUM(B98:B100)</f>
        <v>2872.2019644663956</v>
      </c>
      <c r="C96" s="124">
        <f>SUMPRODUCT(B97:B99,C97:C99)/B96</f>
        <v>50.06767162910861</v>
      </c>
      <c r="D96" s="125">
        <f>B96*C96</f>
        <v>143804.46480938417</v>
      </c>
      <c r="E96" s="123">
        <f>E99</f>
        <v>88654.54545454546</v>
      </c>
      <c r="F96" s="114">
        <f>E96-D96</f>
        <v>-55149.91935483871</v>
      </c>
      <c r="G96" s="126">
        <f>F96/Antal_årssøer</f>
        <v>-110.29983870967743</v>
      </c>
    </row>
    <row r="97" spans="1:7" ht="12.75">
      <c r="A97" s="118" t="s">
        <v>154</v>
      </c>
      <c r="B97" s="93">
        <f>VLOOKUP(B79,A50:F56,3,FALSE)*B$22*B$8</f>
        <v>37.34083191850594</v>
      </c>
      <c r="C97" s="34">
        <f>C45</f>
        <v>490.90999999999997</v>
      </c>
      <c r="D97" s="94">
        <f>C97*B97</f>
        <v>18330.98779711375</v>
      </c>
      <c r="E97" s="103">
        <v>0</v>
      </c>
      <c r="F97" s="110"/>
      <c r="G97" s="89"/>
    </row>
    <row r="98" spans="1:7" ht="12.75">
      <c r="A98" s="118" t="s">
        <v>155</v>
      </c>
      <c r="B98" s="93">
        <f>(1-VLOOKUP(B79,A50:F56,3,FALSE))*B$22*B$8</f>
        <v>211.59804753820035</v>
      </c>
      <c r="C98" s="34">
        <f>C46</f>
        <v>213.91</v>
      </c>
      <c r="D98" s="94">
        <f aca="true" t="shared" si="1" ref="D98:D105">C98*B98</f>
        <v>45262.93834889644</v>
      </c>
      <c r="E98" s="103">
        <v>0</v>
      </c>
      <c r="F98" s="92"/>
      <c r="G98" s="89"/>
    </row>
    <row r="99" spans="1:7" ht="12.75">
      <c r="A99" s="118" t="s">
        <v>156</v>
      </c>
      <c r="B99" s="93">
        <f>Antal_årssøer*Sæddoser_pr._årsso__stk.-B97-B98</f>
        <v>2364.6974841796573</v>
      </c>
      <c r="C99" s="34">
        <f>C47</f>
        <v>33.92</v>
      </c>
      <c r="D99" s="94">
        <f t="shared" si="1"/>
        <v>80210.53866337398</v>
      </c>
      <c r="E99" s="103">
        <f>SUM(B97:B99)*C99</f>
        <v>88654.54545454546</v>
      </c>
      <c r="F99" s="88"/>
      <c r="G99" s="89"/>
    </row>
    <row r="100" spans="1:7" ht="12.75">
      <c r="A100" s="118" t="s">
        <v>88</v>
      </c>
      <c r="B100" s="93">
        <f>B14*Poltekapacitetsgrad_fra_22_uger</f>
        <v>295.90643274853795</v>
      </c>
      <c r="C100" s="34">
        <f>(IF(B29="Aktuel",B27,B28)-0.35+0.9)*B65+B66</f>
        <v>936.1</v>
      </c>
      <c r="D100" s="94">
        <f t="shared" si="1"/>
        <v>276998.0116959064</v>
      </c>
      <c r="E100" s="103">
        <f>(VLOOKUP(B80,A31:E35,5,FALSE)+B38+B39+B40)*B100</f>
        <v>580864.32748538</v>
      </c>
      <c r="F100" s="93">
        <f aca="true" t="shared" si="2" ref="F100:F107">E100-D100</f>
        <v>303866.3157894736</v>
      </c>
      <c r="G100" s="112">
        <f aca="true" t="shared" si="3" ref="G100:G107">F100/Antal_årssøer</f>
        <v>607.7326315789472</v>
      </c>
    </row>
    <row r="101" spans="1:7" ht="12.75">
      <c r="A101" s="118" t="s">
        <v>70</v>
      </c>
      <c r="B101" s="93">
        <f>Poltekapacitetsgrad_ved_fødsel*B14</f>
        <v>543.2842105263157</v>
      </c>
      <c r="C101" s="47">
        <f>B60</f>
        <v>4.25</v>
      </c>
      <c r="D101" s="94">
        <f t="shared" si="1"/>
        <v>2308.957894736842</v>
      </c>
      <c r="E101" s="103">
        <v>0</v>
      </c>
      <c r="F101" s="93">
        <f t="shared" si="2"/>
        <v>-2308.957894736842</v>
      </c>
      <c r="G101" s="112">
        <f t="shared" si="3"/>
        <v>-4.617915789473684</v>
      </c>
    </row>
    <row r="102" spans="1:7" ht="12.75">
      <c r="A102" s="118" t="s">
        <v>99</v>
      </c>
      <c r="B102" s="93">
        <f>B100</f>
        <v>295.90643274853795</v>
      </c>
      <c r="C102" s="34">
        <f>B64</f>
        <v>60</v>
      </c>
      <c r="D102" s="94">
        <f t="shared" si="1"/>
        <v>17754.38596491228</v>
      </c>
      <c r="E102" s="103">
        <f>B102*B41</f>
        <v>26631.578947368416</v>
      </c>
      <c r="F102" s="93">
        <f t="shared" si="2"/>
        <v>8877.192982456138</v>
      </c>
      <c r="G102" s="112">
        <f t="shared" si="3"/>
        <v>17.754385964912274</v>
      </c>
    </row>
    <row r="103" spans="1:7" ht="12.75">
      <c r="A103" s="118" t="s">
        <v>91</v>
      </c>
      <c r="B103" s="93">
        <f>B22*B61</f>
        <v>47.623089983022076</v>
      </c>
      <c r="C103" s="34">
        <f>B62</f>
        <v>180</v>
      </c>
      <c r="D103" s="94">
        <f t="shared" si="1"/>
        <v>8572.156196943974</v>
      </c>
      <c r="E103" s="103">
        <v>0</v>
      </c>
      <c r="F103" s="93">
        <f t="shared" si="2"/>
        <v>-8572.156196943974</v>
      </c>
      <c r="G103" s="112">
        <f t="shared" si="3"/>
        <v>-17.144312393887947</v>
      </c>
    </row>
    <row r="104" spans="1:7" ht="12.75">
      <c r="A104" s="118" t="s">
        <v>92</v>
      </c>
      <c r="B104" s="93">
        <v>1</v>
      </c>
      <c r="C104" s="34">
        <f>B59</f>
        <v>7500</v>
      </c>
      <c r="D104" s="94">
        <f t="shared" si="1"/>
        <v>7500</v>
      </c>
      <c r="E104" s="103">
        <v>0</v>
      </c>
      <c r="F104" s="93">
        <f t="shared" si="2"/>
        <v>-7500</v>
      </c>
      <c r="G104" s="112">
        <f t="shared" si="3"/>
        <v>-15</v>
      </c>
    </row>
    <row r="105" spans="1:7" ht="12.75">
      <c r="A105" s="118" t="s">
        <v>133</v>
      </c>
      <c r="B105" s="93">
        <f>B100</f>
        <v>295.90643274853795</v>
      </c>
      <c r="C105" s="34">
        <f>F72</f>
        <v>0</v>
      </c>
      <c r="D105" s="94">
        <f t="shared" si="1"/>
        <v>0</v>
      </c>
      <c r="E105" s="103"/>
      <c r="F105" s="93">
        <f t="shared" si="2"/>
        <v>0</v>
      </c>
      <c r="G105" s="112">
        <f t="shared" si="3"/>
        <v>0</v>
      </c>
    </row>
    <row r="106" spans="1:7" ht="12.75">
      <c r="A106" s="118" t="s">
        <v>134</v>
      </c>
      <c r="B106" s="93">
        <f>B100</f>
        <v>295.90643274853795</v>
      </c>
      <c r="C106" s="34">
        <f>F73</f>
        <v>46.4023984260679</v>
      </c>
      <c r="D106" s="94">
        <f>B106*C106</f>
        <v>13730.768189234124</v>
      </c>
      <c r="E106" s="103"/>
      <c r="F106" s="93">
        <f t="shared" si="2"/>
        <v>-13730.768189234124</v>
      </c>
      <c r="G106" s="112">
        <f t="shared" si="3"/>
        <v>-27.46153637846825</v>
      </c>
    </row>
    <row r="107" spans="1:7" ht="13.5" thickBot="1">
      <c r="A107" s="104" t="s">
        <v>108</v>
      </c>
      <c r="B107" s="95"/>
      <c r="C107" s="73"/>
      <c r="D107" s="96">
        <f>D96+SUM(D100:D106)</f>
        <v>470668.7447511178</v>
      </c>
      <c r="E107" s="104">
        <f>E96+SUM(E100:E104)</f>
        <v>696150.4518872938</v>
      </c>
      <c r="F107" s="95">
        <f t="shared" si="2"/>
        <v>225481.70713617606</v>
      </c>
      <c r="G107" s="113">
        <f t="shared" si="3"/>
        <v>450.9634142723521</v>
      </c>
    </row>
    <row r="108" spans="1:7" ht="12.75">
      <c r="A108" s="119" t="s">
        <v>109</v>
      </c>
      <c r="B108" s="97">
        <f>B100</f>
        <v>295.90643274853795</v>
      </c>
      <c r="C108" s="72">
        <f>0.5*B66</f>
        <v>15</v>
      </c>
      <c r="D108" s="98">
        <f>B108*C108</f>
        <v>4438.59649122807</v>
      </c>
      <c r="E108" s="105"/>
      <c r="F108" s="110"/>
      <c r="G108" s="111"/>
    </row>
    <row r="109" spans="1:7" ht="12.75">
      <c r="A109" s="118" t="s">
        <v>87</v>
      </c>
      <c r="B109" s="93">
        <f>SUM(B91:B92)</f>
        <v>119.45242512733475</v>
      </c>
      <c r="C109" s="34">
        <f>B63</f>
        <v>170</v>
      </c>
      <c r="D109" s="94">
        <f>B109*C109</f>
        <v>20306.912271646906</v>
      </c>
      <c r="E109" s="103">
        <v>0</v>
      </c>
      <c r="F109" s="92"/>
      <c r="G109" s="112"/>
    </row>
    <row r="110" spans="1:7" ht="13.5" thickBot="1">
      <c r="A110" s="104" t="s">
        <v>160</v>
      </c>
      <c r="B110" s="95"/>
      <c r="C110" s="73"/>
      <c r="D110" s="96">
        <f>SUM(SUM(D107:D109))</f>
        <v>495414.25351399276</v>
      </c>
      <c r="E110" s="104">
        <f>SUM(SUM(E107:E109))</f>
        <v>696150.4518872938</v>
      </c>
      <c r="F110" s="95">
        <f>E110-D110</f>
        <v>200736.19837330107</v>
      </c>
      <c r="G110" s="113">
        <f>F110/Antal_årssøer</f>
        <v>401.47239674660216</v>
      </c>
    </row>
    <row r="111" spans="1:7" ht="12.75">
      <c r="A111" s="105" t="s">
        <v>3</v>
      </c>
      <c r="B111" s="97">
        <f>B93</f>
        <v>1007.6042124127523</v>
      </c>
      <c r="C111" s="74">
        <f>-VLOOKUP(B88,A167:F174,6,FALSE)</f>
        <v>6</v>
      </c>
      <c r="D111" s="98">
        <f>B111*C111</f>
        <v>6045.625274476513</v>
      </c>
      <c r="E111" s="105">
        <v>0</v>
      </c>
      <c r="F111" s="110"/>
      <c r="G111" s="111"/>
    </row>
    <row r="112" spans="1:7" ht="13.5" thickBot="1">
      <c r="A112" s="104" t="s">
        <v>161</v>
      </c>
      <c r="B112" s="95"/>
      <c r="C112" s="73"/>
      <c r="D112" s="96">
        <f>D110+D111</f>
        <v>501459.8787884693</v>
      </c>
      <c r="E112" s="104">
        <f>E110+E111</f>
        <v>696150.4518872938</v>
      </c>
      <c r="F112" s="95">
        <f>E112-D112</f>
        <v>194690.57309882453</v>
      </c>
      <c r="G112" s="113">
        <f>F112/Antal_årssøer</f>
        <v>389.38114619764906</v>
      </c>
    </row>
    <row r="113" spans="1:7" ht="12.75">
      <c r="A113" s="120" t="s">
        <v>106</v>
      </c>
      <c r="B113" s="97">
        <f>Antal_årssøer</f>
        <v>500</v>
      </c>
      <c r="C113" s="72">
        <f>B90*B148</f>
        <v>106.77583139999997</v>
      </c>
      <c r="D113" s="98">
        <f>B113*C113</f>
        <v>53387.91569999998</v>
      </c>
      <c r="E113" s="105">
        <v>0</v>
      </c>
      <c r="F113" s="110"/>
      <c r="G113" s="111"/>
    </row>
    <row r="114" spans="1:7" ht="12.75">
      <c r="A114" s="123" t="s">
        <v>110</v>
      </c>
      <c r="B114" s="114"/>
      <c r="C114" s="51"/>
      <c r="D114" s="125">
        <f>D112+D113</f>
        <v>554847.7944884693</v>
      </c>
      <c r="E114" s="123">
        <f>E112+E113</f>
        <v>696150.4518872938</v>
      </c>
      <c r="F114" s="114">
        <f>E114-D114</f>
        <v>141302.65739882458</v>
      </c>
      <c r="G114" s="126">
        <f>F114/Antal_årssøer</f>
        <v>282.60531479764916</v>
      </c>
    </row>
    <row r="115" spans="1:7" ht="13.5" thickBot="1">
      <c r="A115" s="121" t="s">
        <v>136</v>
      </c>
      <c r="B115" s="99"/>
      <c r="C115" s="2"/>
      <c r="D115" s="128">
        <f>D114/($B14*Poltekapacitetsgrad_fra_22_uger)</f>
        <v>1875.0785149709143</v>
      </c>
      <c r="E115" s="129">
        <f>E114/($B14*Poltekapacitetsgrad_fra_22_uger)</f>
        <v>2352.603305785124</v>
      </c>
      <c r="F115" s="99"/>
      <c r="G115" s="115"/>
    </row>
    <row r="116" spans="1:7" ht="12.75">
      <c r="A116" s="55"/>
      <c r="B116" s="9"/>
      <c r="C116" s="9"/>
      <c r="D116" s="8"/>
      <c r="E116" s="8"/>
      <c r="F116" s="9"/>
      <c r="G116" s="9"/>
    </row>
    <row r="117" spans="1:7" ht="12.75">
      <c r="A117"/>
      <c r="F117" s="9"/>
      <c r="G117" s="9"/>
    </row>
    <row r="118" spans="1:7" ht="12.75">
      <c r="A118" s="127">
        <f>D115</f>
        <v>1875.0785149709143</v>
      </c>
      <c r="B118" s="34" t="s">
        <v>64</v>
      </c>
      <c r="C118" s="34" t="s">
        <v>162</v>
      </c>
      <c r="D118" s="33" t="s">
        <v>163</v>
      </c>
      <c r="E118" s="33"/>
      <c r="F118" s="9"/>
      <c r="G118" s="9"/>
    </row>
    <row r="119" spans="1:7" ht="12.75">
      <c r="A119" s="35" t="s">
        <v>68</v>
      </c>
      <c r="B119" s="34">
        <f t="dataTable" ref="B119:C124" dt2D="1" dtr="1" r1="B29" r2="B79"/>
        <v>1875.0785149709143</v>
      </c>
      <c r="C119" s="34">
        <v>1973.4785149709144</v>
      </c>
      <c r="D119" s="33">
        <f aca="true" t="shared" si="4" ref="D119:D124">RANK(B119,$B$119:$B$124,1)</f>
        <v>1</v>
      </c>
      <c r="E119" s="35" t="s">
        <v>68</v>
      </c>
      <c r="F119" s="9"/>
      <c r="G119" s="9"/>
    </row>
    <row r="120" spans="1:7" ht="12.75">
      <c r="A120" s="35" t="s">
        <v>69</v>
      </c>
      <c r="B120" s="34">
        <v>1923.4067730354304</v>
      </c>
      <c r="C120" s="34">
        <v>2021.8067730354308</v>
      </c>
      <c r="D120" s="33">
        <f t="shared" si="4"/>
        <v>2</v>
      </c>
      <c r="E120" s="35" t="s">
        <v>69</v>
      </c>
      <c r="F120" s="9"/>
      <c r="G120" s="9"/>
    </row>
    <row r="121" spans="1:7" ht="12.75">
      <c r="A121" s="35" t="s">
        <v>19</v>
      </c>
      <c r="B121" s="34">
        <v>2061.829346921262</v>
      </c>
      <c r="C121" s="34">
        <v>2160.2293469212623</v>
      </c>
      <c r="D121" s="33">
        <f t="shared" si="4"/>
        <v>3</v>
      </c>
      <c r="E121" s="35" t="s">
        <v>19</v>
      </c>
      <c r="F121" s="9"/>
      <c r="G121" s="9"/>
    </row>
    <row r="122" spans="1:7" ht="12.75">
      <c r="A122" s="35" t="s">
        <v>17</v>
      </c>
      <c r="B122" s="34">
        <v>2235.877287420778</v>
      </c>
      <c r="C122" s="34">
        <v>2334.2772874207776</v>
      </c>
      <c r="D122" s="33">
        <f t="shared" si="4"/>
        <v>6</v>
      </c>
      <c r="E122" s="35" t="s">
        <v>17</v>
      </c>
      <c r="F122" s="9"/>
      <c r="G122" s="9"/>
    </row>
    <row r="123" spans="1:7" ht="12.75">
      <c r="A123" s="35" t="s">
        <v>12</v>
      </c>
      <c r="B123" s="34">
        <v>2210.2633106465846</v>
      </c>
      <c r="C123" s="34">
        <v>2308.6633106465843</v>
      </c>
      <c r="D123" s="33">
        <f t="shared" si="4"/>
        <v>5</v>
      </c>
      <c r="E123" s="35" t="s">
        <v>12</v>
      </c>
      <c r="F123" s="9"/>
      <c r="G123" s="9"/>
    </row>
    <row r="124" spans="1:7" ht="12.75">
      <c r="A124" s="35" t="s">
        <v>13</v>
      </c>
      <c r="B124" s="34">
        <v>2132.8594928607563</v>
      </c>
      <c r="C124" s="34">
        <v>2231.259492860756</v>
      </c>
      <c r="D124" s="33">
        <f t="shared" si="4"/>
        <v>4</v>
      </c>
      <c r="E124" s="35" t="s">
        <v>13</v>
      </c>
      <c r="F124" s="9"/>
      <c r="G124" s="9"/>
    </row>
    <row r="125" spans="1:7" ht="12.75">
      <c r="A125" s="55"/>
      <c r="B125" s="9"/>
      <c r="C125" s="9"/>
      <c r="D125" s="8"/>
      <c r="E125" s="8"/>
      <c r="F125" s="9"/>
      <c r="G125" s="9"/>
    </row>
    <row r="126" spans="1:7" ht="12.75">
      <c r="A126" s="55"/>
      <c r="B126" s="9"/>
      <c r="C126" s="9"/>
      <c r="D126" s="8"/>
      <c r="E126" s="8"/>
      <c r="F126" s="9"/>
      <c r="G126" s="9"/>
    </row>
    <row r="127" ht="12.75"/>
    <row r="128" ht="12.75"/>
    <row r="129" ht="12.75"/>
    <row r="130" ht="12.75">
      <c r="B130" s="1"/>
    </row>
    <row r="131" ht="12.75"/>
    <row r="132" spans="1:7" ht="12.75">
      <c r="A132" s="151" t="s">
        <v>159</v>
      </c>
      <c r="B132" s="151"/>
      <c r="C132" s="151"/>
      <c r="D132" s="151"/>
      <c r="E132" s="151"/>
      <c r="F132" s="151"/>
      <c r="G132" s="151"/>
    </row>
    <row r="133" spans="1:7" ht="12.75">
      <c r="A133" s="151"/>
      <c r="B133" s="151"/>
      <c r="C133" s="151"/>
      <c r="D133" s="151"/>
      <c r="E133" s="151"/>
      <c r="F133" s="151"/>
      <c r="G133" s="151"/>
    </row>
    <row r="134" spans="1:4" ht="12.75">
      <c r="A134"/>
      <c r="D134" s="11"/>
    </row>
    <row r="135" spans="1:5" ht="12.75">
      <c r="A135" s="7" t="s">
        <v>148</v>
      </c>
      <c r="D135" s="11"/>
      <c r="E135" t="s">
        <v>57</v>
      </c>
    </row>
    <row r="136" spans="1:5" ht="12.75">
      <c r="A136" s="15" t="s">
        <v>145</v>
      </c>
      <c r="B136" s="83">
        <f>91*0.05*C73/7+2.82*76*1.7*0.05</f>
        <v>21.251027945476817</v>
      </c>
      <c r="C136" s="17" t="s">
        <v>149</v>
      </c>
      <c r="D136" s="16"/>
      <c r="E136" s="17" t="s">
        <v>58</v>
      </c>
    </row>
    <row r="137" spans="1:5" ht="12.75">
      <c r="A137" s="15" t="s">
        <v>147</v>
      </c>
      <c r="B137" s="83">
        <v>6</v>
      </c>
      <c r="C137" s="17" t="s">
        <v>149</v>
      </c>
      <c r="D137" s="16"/>
      <c r="E137" s="17" t="s">
        <v>58</v>
      </c>
    </row>
    <row r="138" spans="1:5" ht="12.75">
      <c r="A138" s="84" t="s">
        <v>39</v>
      </c>
      <c r="B138" s="85">
        <v>-6</v>
      </c>
      <c r="C138" s="17" t="s">
        <v>143</v>
      </c>
      <c r="D138" s="17"/>
      <c r="E138" s="17" t="s">
        <v>58</v>
      </c>
    </row>
    <row r="139" spans="1:5" ht="12.75">
      <c r="A139" s="84" t="s">
        <v>144</v>
      </c>
      <c r="B139" s="85">
        <f>B138-B136*0.333</f>
        <v>-13.07659230584378</v>
      </c>
      <c r="C139" s="17" t="s">
        <v>152</v>
      </c>
      <c r="D139" s="17"/>
      <c r="E139" s="17" t="s">
        <v>58</v>
      </c>
    </row>
    <row r="140" ht="12.75">
      <c r="E140" s="12"/>
    </row>
    <row r="141" ht="12.75"/>
    <row r="142" spans="4:6" ht="12.75">
      <c r="D142" s="37"/>
      <c r="E142" s="37"/>
      <c r="F142" s="37"/>
    </row>
    <row r="143" ht="12.75"/>
    <row r="144" spans="1:3" ht="12.75">
      <c r="A144" s="7" t="s">
        <v>142</v>
      </c>
      <c r="C144" s="9" t="s">
        <v>138</v>
      </c>
    </row>
    <row r="145" spans="1:3" ht="12.75">
      <c r="A145" s="1" t="s">
        <v>10</v>
      </c>
      <c r="B145" s="6">
        <v>0.5</v>
      </c>
      <c r="C145" t="s">
        <v>58</v>
      </c>
    </row>
    <row r="146" spans="1:3" ht="12.75">
      <c r="A146" s="1" t="s">
        <v>9</v>
      </c>
      <c r="B146" s="24">
        <v>0.83</v>
      </c>
      <c r="C146" t="s">
        <v>58</v>
      </c>
    </row>
    <row r="147" spans="1:3" ht="12.75">
      <c r="A147" s="1" t="s">
        <v>11</v>
      </c>
      <c r="B147" s="24">
        <v>0.94</v>
      </c>
      <c r="C147" t="s">
        <v>58</v>
      </c>
    </row>
    <row r="148" spans="1:3" ht="13.5" thickBot="1">
      <c r="A148" s="58" t="s">
        <v>25</v>
      </c>
      <c r="B148" s="59">
        <f>B145*B146*B147*B10</f>
        <v>10.677583139999998</v>
      </c>
      <c r="C148" s="2" t="s">
        <v>58</v>
      </c>
    </row>
    <row r="149" ht="12.75"/>
    <row r="150" spans="2:3" ht="12.75">
      <c r="B150" s="5"/>
      <c r="C150" s="5" t="s">
        <v>57</v>
      </c>
    </row>
    <row r="151" spans="1:3" ht="12.75">
      <c r="A151" s="1" t="s">
        <v>30</v>
      </c>
      <c r="B151" s="56">
        <f>11.9+0.5</f>
        <v>12.4</v>
      </c>
      <c r="C151" s="5" t="s">
        <v>58</v>
      </c>
    </row>
    <row r="152" spans="1:3" ht="12.75">
      <c r="A152" s="1" t="s">
        <v>31</v>
      </c>
      <c r="B152" s="56">
        <v>13.2</v>
      </c>
      <c r="C152" t="s">
        <v>58</v>
      </c>
    </row>
    <row r="153" ht="12.75">
      <c r="A153"/>
    </row>
    <row r="154" spans="1:2" ht="13.5" thickBot="1">
      <c r="A154" s="3" t="s">
        <v>141</v>
      </c>
      <c r="B154" s="2"/>
    </row>
    <row r="155" spans="1:3" ht="12.75">
      <c r="A155" s="1" t="s">
        <v>15</v>
      </c>
      <c r="B155" s="57">
        <v>0.12</v>
      </c>
      <c r="C155" s="13" t="s">
        <v>58</v>
      </c>
    </row>
    <row r="156" spans="1:3" ht="12.75">
      <c r="A156" s="1" t="s">
        <v>30</v>
      </c>
      <c r="B156">
        <f>B151</f>
        <v>12.4</v>
      </c>
      <c r="C156" s="10" t="s">
        <v>139</v>
      </c>
    </row>
    <row r="157" spans="1:3" ht="12.75">
      <c r="A157" s="1" t="s">
        <v>31</v>
      </c>
      <c r="B157">
        <f>B152</f>
        <v>13.2</v>
      </c>
      <c r="C157" s="10" t="s">
        <v>139</v>
      </c>
    </row>
    <row r="158" spans="1:3" ht="12.75">
      <c r="A158" s="1" t="s">
        <v>32</v>
      </c>
      <c r="B158" s="4">
        <f>((B156*0.5)+(B157*0.5))*(1+B155)</f>
        <v>14.336000000000002</v>
      </c>
      <c r="C158" s="10" t="s">
        <v>139</v>
      </c>
    </row>
    <row r="159" spans="1:3" ht="12.75">
      <c r="A159" s="1" t="s">
        <v>33</v>
      </c>
      <c r="B159" s="4">
        <f>((B156*0.75)+(B157*0.25))*(1+B155*0.5)</f>
        <v>13.356000000000002</v>
      </c>
      <c r="C159" s="10" t="s">
        <v>139</v>
      </c>
    </row>
    <row r="160" spans="1:3" ht="12.75">
      <c r="A160" s="1" t="s">
        <v>34</v>
      </c>
      <c r="B160" s="4">
        <f>((B157*0.75)+(B156*0.25))*(1+B155*0.5)</f>
        <v>13.78</v>
      </c>
      <c r="C160" s="10" t="s">
        <v>139</v>
      </c>
    </row>
    <row r="161" spans="1:3" ht="12.75">
      <c r="A161" s="1" t="s">
        <v>35</v>
      </c>
      <c r="B161" s="4">
        <f>((B156*0.5)+(B157*0.5))*(1+B155*0.5)</f>
        <v>13.568000000000001</v>
      </c>
      <c r="C161" s="10" t="s">
        <v>139</v>
      </c>
    </row>
    <row r="162" spans="1:3" ht="12.75">
      <c r="A162" s="1" t="s">
        <v>36</v>
      </c>
      <c r="B162" s="4">
        <f>((0.67*B156)+(0.33*B157))*(1+B155*0.67)</f>
        <v>13.682185600000002</v>
      </c>
      <c r="C162" s="10" t="s">
        <v>139</v>
      </c>
    </row>
    <row r="163" spans="1:3" ht="12.75">
      <c r="A163" s="1" t="s">
        <v>37</v>
      </c>
      <c r="B163" s="4">
        <f>((0.67*B157)+(0.33*B156))*(1+B155*0.67)</f>
        <v>13.9760544</v>
      </c>
      <c r="C163" s="10" t="s">
        <v>139</v>
      </c>
    </row>
    <row r="164" spans="1:3" ht="12.75">
      <c r="A164" s="1" t="s">
        <v>16</v>
      </c>
      <c r="B164" s="4">
        <f>0.5*(B162+B163)</f>
        <v>13.829120000000001</v>
      </c>
      <c r="C164" s="10" t="s">
        <v>139</v>
      </c>
    </row>
    <row r="165" ht="12.75">
      <c r="B165" s="4"/>
    </row>
    <row r="166" spans="1:6" ht="76.5">
      <c r="A166" s="29" t="s">
        <v>122</v>
      </c>
      <c r="B166" s="29" t="s">
        <v>96</v>
      </c>
      <c r="C166" s="30" t="s">
        <v>150</v>
      </c>
      <c r="D166" s="36" t="s">
        <v>93</v>
      </c>
      <c r="E166" s="30" t="s">
        <v>151</v>
      </c>
      <c r="F166" s="30" t="s">
        <v>126</v>
      </c>
    </row>
    <row r="167" spans="1:6" ht="12.75">
      <c r="A167" s="15" t="s">
        <v>68</v>
      </c>
      <c r="B167" s="31">
        <f>B157</f>
        <v>13.2</v>
      </c>
      <c r="C167" s="32">
        <f aca="true" t="shared" si="5" ref="C167:C173">B51</f>
        <v>-1.1360000000000028</v>
      </c>
      <c r="D167" s="17" t="s">
        <v>94</v>
      </c>
      <c r="E167" s="50">
        <f aca="true" t="shared" si="6" ref="E167:E172">VLOOKUP(D167,$A$167:$C$174,3,FALSE)</f>
        <v>0</v>
      </c>
      <c r="F167" s="50">
        <f>B$138</f>
        <v>-6</v>
      </c>
    </row>
    <row r="168" spans="1:6" ht="12.75">
      <c r="A168" s="15" t="s">
        <v>69</v>
      </c>
      <c r="B168" s="31">
        <f>B156</f>
        <v>12.4</v>
      </c>
      <c r="C168" s="32">
        <f t="shared" si="5"/>
        <v>-1.9360000000000017</v>
      </c>
      <c r="D168" s="17" t="s">
        <v>95</v>
      </c>
      <c r="E168" s="50">
        <f t="shared" si="6"/>
        <v>0</v>
      </c>
      <c r="F168" s="50">
        <f>B$138</f>
        <v>-6</v>
      </c>
    </row>
    <row r="169" spans="1:6" ht="12.75">
      <c r="A169" s="15" t="s">
        <v>19</v>
      </c>
      <c r="B169" s="32">
        <f>B164</f>
        <v>13.829120000000001</v>
      </c>
      <c r="C169" s="32">
        <f t="shared" si="5"/>
        <v>-0.5068800000000007</v>
      </c>
      <c r="D169" s="17" t="s">
        <v>19</v>
      </c>
      <c r="E169" s="50">
        <f t="shared" si="6"/>
        <v>-0.5068800000000007</v>
      </c>
      <c r="F169" s="50">
        <f>B$139</f>
        <v>-13.07659230584378</v>
      </c>
    </row>
    <row r="170" spans="1:6" ht="12.75">
      <c r="A170" s="15" t="s">
        <v>17</v>
      </c>
      <c r="B170" s="32">
        <f>B159</f>
        <v>13.356000000000002</v>
      </c>
      <c r="C170" s="32">
        <f t="shared" si="5"/>
        <v>-0.9800000000000004</v>
      </c>
      <c r="D170" s="17" t="s">
        <v>19</v>
      </c>
      <c r="E170" s="50">
        <f t="shared" si="6"/>
        <v>-0.5068800000000007</v>
      </c>
      <c r="F170" s="50">
        <f>B$139</f>
        <v>-13.07659230584378</v>
      </c>
    </row>
    <row r="171" spans="1:6" ht="12.75">
      <c r="A171" s="15" t="s">
        <v>12</v>
      </c>
      <c r="B171" s="32">
        <f>B160</f>
        <v>13.78</v>
      </c>
      <c r="C171" s="32">
        <f t="shared" si="5"/>
        <v>-0.5560000000000027</v>
      </c>
      <c r="D171" s="17" t="s">
        <v>19</v>
      </c>
      <c r="E171" s="50">
        <f t="shared" si="6"/>
        <v>-0.5068800000000007</v>
      </c>
      <c r="F171" s="50">
        <f>B$139</f>
        <v>-13.07659230584378</v>
      </c>
    </row>
    <row r="172" spans="1:6" ht="12.75">
      <c r="A172" s="15" t="s">
        <v>13</v>
      </c>
      <c r="B172" s="32">
        <f>B161</f>
        <v>13.568000000000001</v>
      </c>
      <c r="C172" s="32">
        <f t="shared" si="5"/>
        <v>-0.7680000000000007</v>
      </c>
      <c r="D172" s="17" t="s">
        <v>19</v>
      </c>
      <c r="E172" s="50">
        <f t="shared" si="6"/>
        <v>-0.5068800000000007</v>
      </c>
      <c r="F172" s="50">
        <f>B$139</f>
        <v>-13.07659230584378</v>
      </c>
    </row>
    <row r="173" spans="1:6" ht="12.75">
      <c r="A173" s="16" t="s">
        <v>95</v>
      </c>
      <c r="B173" s="48">
        <f>B158</f>
        <v>14.336000000000002</v>
      </c>
      <c r="C173" s="32">
        <f t="shared" si="5"/>
        <v>0</v>
      </c>
      <c r="D173" s="17"/>
      <c r="E173" s="50">
        <v>0</v>
      </c>
      <c r="F173" s="17"/>
    </row>
    <row r="174" spans="1:6" ht="12.75">
      <c r="A174" s="16" t="s">
        <v>94</v>
      </c>
      <c r="B174" s="48">
        <f>B158</f>
        <v>14.336000000000002</v>
      </c>
      <c r="C174" s="17">
        <v>0</v>
      </c>
      <c r="D174" s="17"/>
      <c r="E174" s="50">
        <v>0</v>
      </c>
      <c r="F174" s="17"/>
    </row>
  </sheetData>
  <sheetProtection/>
  <mergeCells count="4">
    <mergeCell ref="B84:D84"/>
    <mergeCell ref="E13:F17"/>
    <mergeCell ref="A132:G133"/>
    <mergeCell ref="F78:G82"/>
  </mergeCells>
  <dataValidations count="5">
    <dataValidation type="list" allowBlank="1" showInputMessage="1" showErrorMessage="1" sqref="B79">
      <formula1>$A$51:$A$56</formula1>
    </dataValidation>
    <dataValidation type="list" allowBlank="1" showInputMessage="1" showErrorMessage="1" sqref="B80">
      <formula1>$A$32:$A$35</formula1>
    </dataValidation>
    <dataValidation allowBlank="1" showInputMessage="1" showErrorMessage="1" promptTitle="Hvad koster karantænestalden ?" prompt="Pladserne til poltene skal man have under alle omstændigheder, men indslusning af store karantænehold kræver polteplads i sobesætningen som kun udnyttes 50%&#10;" sqref="B40"/>
    <dataValidation type="list" allowBlank="1" showInputMessage="1" showErrorMessage="1" sqref="B29">
      <formula1>"Aktuel,Nulpunktsnotering"</formula1>
    </dataValidation>
    <dataValidation allowBlank="1" showInputMessage="1" showErrorMessage="1" promptTitle="Gylteudnyttelsesprocent" prompt="Hvormange gylte som ender med at farer.&#10;&#10;faringsprocent samt omløberpct. * faringsprocent omløberpct.&#10;&#10;Bør være mindst 93 % maks. ca. 96 %" sqref="B13"/>
  </dataValidations>
  <printOptions gridLines="1" headings="1"/>
  <pageMargins left="0.24" right="0.17" top="0.15748031496062992" bottom="0.11811023622047245" header="0" footer="0"/>
  <pageSetup horizontalDpi="600" verticalDpi="600" orientation="landscape" paperSize="9" scale="80" r:id="rId3"/>
  <rowBreaks count="3" manualBreakCount="3">
    <brk id="48" max="6" man="1"/>
    <brk id="74" max="6" man="1"/>
    <brk id="12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Slagterier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Bye or Make analyse for LY-sopolte</dc:title>
  <dc:subject/>
  <dc:creator>Thomas Muurmann Henriksen</dc:creator>
  <cp:keywords/>
  <dc:description>Overtaget af Heine Kristensen oktober 2004.
Senest opdateret 12. oktober 2004.</dc:description>
  <cp:lastModifiedBy>Trine Vig Tamstorf</cp:lastModifiedBy>
  <cp:lastPrinted>2011-11-01T13:04:16Z</cp:lastPrinted>
  <dcterms:created xsi:type="dcterms:W3CDTF">2002-10-04T11:54:21Z</dcterms:created>
  <dcterms:modified xsi:type="dcterms:W3CDTF">2014-01-22T08:01:16Z</dcterms:modified>
  <cp:category/>
  <cp:version/>
  <cp:contentType/>
  <cp:contentStatus/>
</cp:coreProperties>
</file>